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법인행정\2021년\공문\공문첨부\"/>
    </mc:Choice>
  </mc:AlternateContent>
  <xr:revisionPtr revIDLastSave="0" documentId="13_ncr:1_{5AC95CF6-BC8D-4DB7-B2E0-AAC702E3DB9D}" xr6:coauthVersionLast="36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예산총칙" sheetId="2" r:id="rId1"/>
    <sheet name="세입내역" sheetId="6" r:id="rId2"/>
    <sheet name="세출내역" sheetId="7" r:id="rId3"/>
  </sheets>
  <definedNames>
    <definedName name="_xlnm.Print_Area" localSheetId="1">세입내역!$A$1:$Q$91</definedName>
    <definedName name="_xlnm.Print_Area" localSheetId="2">세출내역!$A$1:$Q$330</definedName>
    <definedName name="_xlnm.Print_Area" localSheetId="0">예산총칙!$A$1:$P$24</definedName>
    <definedName name="_xlnm.Print_Titles" localSheetId="1">세입내역!$4:$5</definedName>
    <definedName name="_xlnm.Print_Titles" localSheetId="2">세출내역!$3:$4</definedName>
  </definedNames>
  <calcPr calcId="191029"/>
</workbook>
</file>

<file path=xl/calcChain.xml><?xml version="1.0" encoding="utf-8"?>
<calcChain xmlns="http://schemas.openxmlformats.org/spreadsheetml/2006/main">
  <c r="G178" i="7" l="1"/>
  <c r="P330" i="7" l="1"/>
  <c r="P329" i="7"/>
  <c r="P328" i="7"/>
  <c r="E328" i="7" s="1"/>
  <c r="P327" i="7"/>
  <c r="P326" i="7"/>
  <c r="P325" i="7"/>
  <c r="P323" i="7"/>
  <c r="P322" i="7"/>
  <c r="P321" i="7"/>
  <c r="F319" i="7"/>
  <c r="D319" i="7"/>
  <c r="P318" i="7"/>
  <c r="E318" i="7" s="1"/>
  <c r="P317" i="7"/>
  <c r="E317" i="7"/>
  <c r="G317" i="7" s="1"/>
  <c r="H317" i="7" s="1"/>
  <c r="P316" i="7"/>
  <c r="E316" i="7" s="1"/>
  <c r="G316" i="7" s="1"/>
  <c r="H316" i="7" s="1"/>
  <c r="P315" i="7"/>
  <c r="E315" i="7" s="1"/>
  <c r="P314" i="7"/>
  <c r="E314" i="7"/>
  <c r="P313" i="7"/>
  <c r="E313" i="7" s="1"/>
  <c r="G313" i="7" s="1"/>
  <c r="H313" i="7" s="1"/>
  <c r="P312" i="7"/>
  <c r="E312" i="7" s="1"/>
  <c r="P311" i="7"/>
  <c r="E311" i="7" s="1"/>
  <c r="P310" i="7"/>
  <c r="E310" i="7" s="1"/>
  <c r="G310" i="7" s="1"/>
  <c r="H310" i="7" s="1"/>
  <c r="P309" i="7"/>
  <c r="E309" i="7"/>
  <c r="G309" i="7" s="1"/>
  <c r="H309" i="7" s="1"/>
  <c r="P308" i="7"/>
  <c r="E308" i="7" s="1"/>
  <c r="G308" i="7" s="1"/>
  <c r="H308" i="7" s="1"/>
  <c r="P307" i="7"/>
  <c r="E307" i="7"/>
  <c r="P306" i="7"/>
  <c r="E306" i="7" s="1"/>
  <c r="G306" i="7" s="1"/>
  <c r="H306" i="7" s="1"/>
  <c r="P305" i="7"/>
  <c r="E305" i="7"/>
  <c r="P304" i="7"/>
  <c r="E304" i="7" s="1"/>
  <c r="G304" i="7" s="1"/>
  <c r="H304" i="7" s="1"/>
  <c r="P303" i="7"/>
  <c r="E303" i="7" s="1"/>
  <c r="G303" i="7" s="1"/>
  <c r="H303" i="7" s="1"/>
  <c r="P302" i="7"/>
  <c r="E302" i="7"/>
  <c r="G302" i="7" s="1"/>
  <c r="P301" i="7"/>
  <c r="E301" i="7" s="1"/>
  <c r="G301" i="7" s="1"/>
  <c r="H301" i="7" s="1"/>
  <c r="P300" i="7"/>
  <c r="E300" i="7" s="1"/>
  <c r="P299" i="7"/>
  <c r="E299" i="7"/>
  <c r="G299" i="7" s="1"/>
  <c r="H299" i="7" s="1"/>
  <c r="P298" i="7"/>
  <c r="E298" i="7" s="1"/>
  <c r="G298" i="7" s="1"/>
  <c r="H298" i="7" s="1"/>
  <c r="P297" i="7"/>
  <c r="E297" i="7" s="1"/>
  <c r="P296" i="7"/>
  <c r="E296" i="7" s="1"/>
  <c r="P295" i="7"/>
  <c r="E295" i="7" s="1"/>
  <c r="G295" i="7" s="1"/>
  <c r="H295" i="7" s="1"/>
  <c r="P294" i="7"/>
  <c r="E294" i="7"/>
  <c r="G294" i="7" s="1"/>
  <c r="H294" i="7" s="1"/>
  <c r="P293" i="7"/>
  <c r="E293" i="7" s="1"/>
  <c r="P292" i="7"/>
  <c r="E292" i="7" s="1"/>
  <c r="P291" i="7"/>
  <c r="E291" i="7"/>
  <c r="G291" i="7" s="1"/>
  <c r="H291" i="7" s="1"/>
  <c r="P290" i="7"/>
  <c r="E290" i="7"/>
  <c r="G290" i="7" s="1"/>
  <c r="H290" i="7" s="1"/>
  <c r="P289" i="7"/>
  <c r="E289" i="7" s="1"/>
  <c r="P288" i="7"/>
  <c r="E288" i="7" s="1"/>
  <c r="P287" i="7"/>
  <c r="E287" i="7" s="1"/>
  <c r="P286" i="7"/>
  <c r="E286" i="7"/>
  <c r="P285" i="7"/>
  <c r="E285" i="7" s="1"/>
  <c r="G285" i="7" s="1"/>
  <c r="H285" i="7" s="1"/>
  <c r="P284" i="7"/>
  <c r="E284" i="7" s="1"/>
  <c r="G284" i="7"/>
  <c r="H284" i="7" s="1"/>
  <c r="P283" i="7"/>
  <c r="E283" i="7" s="1"/>
  <c r="G283" i="7" s="1"/>
  <c r="H283" i="7" s="1"/>
  <c r="P282" i="7"/>
  <c r="E282" i="7" s="1"/>
  <c r="P281" i="7"/>
  <c r="E281" i="7" s="1"/>
  <c r="P280" i="7"/>
  <c r="E280" i="7" s="1"/>
  <c r="G280" i="7"/>
  <c r="H280" i="7" s="1"/>
  <c r="P279" i="7"/>
  <c r="E279" i="7" s="1"/>
  <c r="G279" i="7" s="1"/>
  <c r="H279" i="7" s="1"/>
  <c r="P278" i="7"/>
  <c r="E278" i="7"/>
  <c r="P277" i="7"/>
  <c r="E277" i="7" s="1"/>
  <c r="P276" i="7"/>
  <c r="E276" i="7" s="1"/>
  <c r="G276" i="7" s="1"/>
  <c r="H276" i="7" s="1"/>
  <c r="P275" i="7"/>
  <c r="E275" i="7" s="1"/>
  <c r="G275" i="7" s="1"/>
  <c r="H275" i="7" s="1"/>
  <c r="P274" i="7"/>
  <c r="E274" i="7" s="1"/>
  <c r="P273" i="7"/>
  <c r="E273" i="7" s="1"/>
  <c r="P272" i="7"/>
  <c r="E272" i="7" s="1"/>
  <c r="G272" i="7"/>
  <c r="H272" i="7" s="1"/>
  <c r="P271" i="7"/>
  <c r="E271" i="7" s="1"/>
  <c r="P270" i="7"/>
  <c r="E270" i="7" s="1"/>
  <c r="G270" i="7" s="1"/>
  <c r="H270" i="7" s="1"/>
  <c r="P269" i="7"/>
  <c r="E269" i="7" s="1"/>
  <c r="G269" i="7" s="1"/>
  <c r="P268" i="7"/>
  <c r="E268" i="7"/>
  <c r="P267" i="7"/>
  <c r="E267" i="7" s="1"/>
  <c r="P266" i="7"/>
  <c r="E266" i="7" s="1"/>
  <c r="G266" i="7" s="1"/>
  <c r="H266" i="7" s="1"/>
  <c r="P265" i="7"/>
  <c r="E265" i="7" s="1"/>
  <c r="P264" i="7"/>
  <c r="E264" i="7" s="1"/>
  <c r="P263" i="7"/>
  <c r="E263" i="7"/>
  <c r="G263" i="7" s="1"/>
  <c r="H263" i="7" s="1"/>
  <c r="P262" i="7"/>
  <c r="E262" i="7" s="1"/>
  <c r="G262" i="7" s="1"/>
  <c r="H262" i="7" s="1"/>
  <c r="P261" i="7"/>
  <c r="E261" i="7" s="1"/>
  <c r="G261" i="7" s="1"/>
  <c r="H261" i="7"/>
  <c r="P260" i="7"/>
  <c r="E260" i="7" s="1"/>
  <c r="P259" i="7"/>
  <c r="E259" i="7" s="1"/>
  <c r="G259" i="7" s="1"/>
  <c r="H259" i="7" s="1"/>
  <c r="P258" i="7"/>
  <c r="E258" i="7" s="1"/>
  <c r="P257" i="7"/>
  <c r="E257" i="7" s="1"/>
  <c r="G257" i="7" s="1"/>
  <c r="H257" i="7" s="1"/>
  <c r="P256" i="7"/>
  <c r="E256" i="7" s="1"/>
  <c r="P255" i="7"/>
  <c r="E255" i="7" s="1"/>
  <c r="G255" i="7" s="1"/>
  <c r="H255" i="7" s="1"/>
  <c r="P254" i="7"/>
  <c r="E254" i="7" s="1"/>
  <c r="G254" i="7" s="1"/>
  <c r="H254" i="7" s="1"/>
  <c r="P253" i="7"/>
  <c r="E253" i="7" s="1"/>
  <c r="G253" i="7" s="1"/>
  <c r="H253" i="7" s="1"/>
  <c r="P252" i="7"/>
  <c r="E252" i="7"/>
  <c r="P251" i="7"/>
  <c r="E251" i="7" s="1"/>
  <c r="G251" i="7" s="1"/>
  <c r="H251" i="7" s="1"/>
  <c r="P250" i="7"/>
  <c r="E250" i="7" s="1"/>
  <c r="G250" i="7" s="1"/>
  <c r="H250" i="7" s="1"/>
  <c r="P249" i="7"/>
  <c r="E249" i="7" s="1"/>
  <c r="G249" i="7" s="1"/>
  <c r="H249" i="7"/>
  <c r="P248" i="7"/>
  <c r="E248" i="7" s="1"/>
  <c r="P247" i="7"/>
  <c r="E247" i="7"/>
  <c r="G247" i="7" s="1"/>
  <c r="H247" i="7" s="1"/>
  <c r="P246" i="7"/>
  <c r="E246" i="7" s="1"/>
  <c r="P245" i="7"/>
  <c r="E245" i="7" s="1"/>
  <c r="G245" i="7" s="1"/>
  <c r="H245" i="7"/>
  <c r="P244" i="7"/>
  <c r="E244" i="7"/>
  <c r="P243" i="7"/>
  <c r="E243" i="7"/>
  <c r="G243" i="7" s="1"/>
  <c r="H243" i="7" s="1"/>
  <c r="P242" i="7"/>
  <c r="E242" i="7" s="1"/>
  <c r="P241" i="7"/>
  <c r="E241" i="7" s="1"/>
  <c r="G241" i="7" s="1"/>
  <c r="H241" i="7" s="1"/>
  <c r="F241" i="7"/>
  <c r="F222" i="7" s="1"/>
  <c r="P240" i="7"/>
  <c r="E240" i="7" s="1"/>
  <c r="G240" i="7"/>
  <c r="H240" i="7" s="1"/>
  <c r="P239" i="7"/>
  <c r="E239" i="7" s="1"/>
  <c r="G239" i="7" s="1"/>
  <c r="H239" i="7" s="1"/>
  <c r="P238" i="7"/>
  <c r="E238" i="7" s="1"/>
  <c r="G238" i="7" s="1"/>
  <c r="H238" i="7" s="1"/>
  <c r="P237" i="7"/>
  <c r="E237" i="7" s="1"/>
  <c r="P236" i="7"/>
  <c r="E236" i="7" s="1"/>
  <c r="G236" i="7" s="1"/>
  <c r="H236" i="7" s="1"/>
  <c r="P235" i="7"/>
  <c r="E235" i="7" s="1"/>
  <c r="P234" i="7"/>
  <c r="E234" i="7" s="1"/>
  <c r="P233" i="7"/>
  <c r="E233" i="7" s="1"/>
  <c r="G233" i="7" s="1"/>
  <c r="H233" i="7" s="1"/>
  <c r="P232" i="7"/>
  <c r="E232" i="7" s="1"/>
  <c r="P231" i="7"/>
  <c r="E231" i="7" s="1"/>
  <c r="G231" i="7" s="1"/>
  <c r="H231" i="7" s="1"/>
  <c r="P230" i="7"/>
  <c r="E230" i="7"/>
  <c r="P229" i="7"/>
  <c r="E229" i="7" s="1"/>
  <c r="G229" i="7" s="1"/>
  <c r="H229" i="7" s="1"/>
  <c r="P228" i="7"/>
  <c r="E228" i="7" s="1"/>
  <c r="G228" i="7" s="1"/>
  <c r="H228" i="7" s="1"/>
  <c r="P227" i="7"/>
  <c r="E227" i="7" s="1"/>
  <c r="P226" i="7"/>
  <c r="E226" i="7" s="1"/>
  <c r="G226" i="7" s="1"/>
  <c r="H226" i="7" s="1"/>
  <c r="P225" i="7"/>
  <c r="E225" i="7" s="1"/>
  <c r="P224" i="7"/>
  <c r="E224" i="7" s="1"/>
  <c r="G224" i="7" s="1"/>
  <c r="H224" i="7" s="1"/>
  <c r="P223" i="7"/>
  <c r="D222" i="7"/>
  <c r="P221" i="7"/>
  <c r="P220" i="7" s="1"/>
  <c r="D219" i="7"/>
  <c r="P218" i="7"/>
  <c r="P217" i="7"/>
  <c r="F215" i="7"/>
  <c r="D215" i="7"/>
  <c r="P214" i="7"/>
  <c r="P213" i="7"/>
  <c r="P212" i="7" s="1"/>
  <c r="E212" i="7" s="1"/>
  <c r="G212" i="7" s="1"/>
  <c r="P211" i="7"/>
  <c r="P210" i="7"/>
  <c r="P209" i="7"/>
  <c r="P208" i="7"/>
  <c r="P207" i="7"/>
  <c r="P206" i="7"/>
  <c r="F204" i="7"/>
  <c r="D204" i="7"/>
  <c r="P203" i="7"/>
  <c r="P202" i="7"/>
  <c r="P201" i="7"/>
  <c r="P200" i="7"/>
  <c r="P198" i="7"/>
  <c r="P197" i="7"/>
  <c r="F195" i="7"/>
  <c r="D195" i="7"/>
  <c r="P194" i="7"/>
  <c r="P193" i="7" s="1"/>
  <c r="E193" i="7" s="1"/>
  <c r="G193" i="7" s="1"/>
  <c r="P192" i="7"/>
  <c r="P191" i="7"/>
  <c r="P190" i="7"/>
  <c r="P189" i="7"/>
  <c r="P188" i="7"/>
  <c r="F186" i="7"/>
  <c r="D186" i="7"/>
  <c r="P185" i="7"/>
  <c r="P184" i="7"/>
  <c r="P183" i="7"/>
  <c r="D181" i="7"/>
  <c r="P180" i="7"/>
  <c r="G180" i="7"/>
  <c r="H180" i="7" s="1"/>
  <c r="P179" i="7"/>
  <c r="G179" i="7"/>
  <c r="H179" i="7" s="1"/>
  <c r="P177" i="7"/>
  <c r="P176" i="7" s="1"/>
  <c r="F175" i="7"/>
  <c r="D175" i="7"/>
  <c r="P174" i="7"/>
  <c r="P173" i="7" s="1"/>
  <c r="E173" i="7" s="1"/>
  <c r="G173" i="7" s="1"/>
  <c r="P172" i="7"/>
  <c r="P171" i="7"/>
  <c r="P170" i="7"/>
  <c r="H170" i="7"/>
  <c r="P168" i="7"/>
  <c r="P167" i="7"/>
  <c r="P166" i="7"/>
  <c r="G166" i="7"/>
  <c r="H166" i="7" s="1"/>
  <c r="F164" i="7"/>
  <c r="D164" i="7"/>
  <c r="P163" i="7"/>
  <c r="P162" i="7" s="1"/>
  <c r="E162" i="7" s="1"/>
  <c r="P161" i="7"/>
  <c r="P160" i="7"/>
  <c r="P159" i="7"/>
  <c r="P158" i="7"/>
  <c r="P156" i="7"/>
  <c r="P155" i="7"/>
  <c r="P154" i="7"/>
  <c r="P153" i="7"/>
  <c r="P152" i="7"/>
  <c r="P151" i="7"/>
  <c r="P150" i="7"/>
  <c r="F147" i="7"/>
  <c r="D147" i="7"/>
  <c r="P146" i="7"/>
  <c r="P145" i="7"/>
  <c r="P144" i="7"/>
  <c r="P142" i="7"/>
  <c r="P141" i="7"/>
  <c r="P140" i="7"/>
  <c r="P138" i="7"/>
  <c r="P137" i="7" s="1"/>
  <c r="E137" i="7" s="1"/>
  <c r="P135" i="7"/>
  <c r="G135" i="7" s="1"/>
  <c r="H135" i="7" s="1"/>
  <c r="P134" i="7"/>
  <c r="P133" i="7"/>
  <c r="P132" i="7"/>
  <c r="P131" i="7"/>
  <c r="P129" i="7"/>
  <c r="P128" i="7" s="1"/>
  <c r="E128" i="7" s="1"/>
  <c r="G128" i="7" s="1"/>
  <c r="H128" i="7" s="1"/>
  <c r="P127" i="7"/>
  <c r="P126" i="7"/>
  <c r="P125" i="7"/>
  <c r="P124" i="7"/>
  <c r="P121" i="7"/>
  <c r="D120" i="7"/>
  <c r="P119" i="7"/>
  <c r="G119" i="7"/>
  <c r="H119" i="7" s="1"/>
  <c r="P118" i="7"/>
  <c r="G118" i="7"/>
  <c r="H118" i="7" s="1"/>
  <c r="P116" i="7"/>
  <c r="P115" i="7"/>
  <c r="P113" i="7"/>
  <c r="P112" i="7"/>
  <c r="P111" i="7"/>
  <c r="P109" i="7"/>
  <c r="P108" i="7"/>
  <c r="G108" i="7"/>
  <c r="H108" i="7" s="1"/>
  <c r="P106" i="7"/>
  <c r="P104" i="7" s="1"/>
  <c r="E104" i="7" s="1"/>
  <c r="G104" i="7" s="1"/>
  <c r="H104" i="7" s="1"/>
  <c r="F103" i="7"/>
  <c r="D103" i="7"/>
  <c r="P102" i="7"/>
  <c r="P101" i="7" s="1"/>
  <c r="E101" i="7" s="1"/>
  <c r="G101" i="7" s="1"/>
  <c r="H101" i="7" s="1"/>
  <c r="P100" i="7"/>
  <c r="P99" i="7" s="1"/>
  <c r="E99" i="7" s="1"/>
  <c r="G99" i="7" s="1"/>
  <c r="H99" i="7" s="1"/>
  <c r="P98" i="7"/>
  <c r="G98" i="7"/>
  <c r="H98" i="7" s="1"/>
  <c r="P97" i="7"/>
  <c r="P96" i="7"/>
  <c r="P95" i="7"/>
  <c r="P94" i="7"/>
  <c r="G94" i="7"/>
  <c r="H94" i="7" s="1"/>
  <c r="P92" i="7"/>
  <c r="P91" i="7"/>
  <c r="P89" i="7"/>
  <c r="G89" i="7"/>
  <c r="H89" i="7" s="1"/>
  <c r="P88" i="7"/>
  <c r="P87" i="7"/>
  <c r="F85" i="7"/>
  <c r="D85" i="7"/>
  <c r="P83" i="7"/>
  <c r="P82" i="7" s="1"/>
  <c r="E82" i="7" s="1"/>
  <c r="G82" i="7" s="1"/>
  <c r="H82" i="7" s="1"/>
  <c r="P81" i="7"/>
  <c r="P80" i="7" s="1"/>
  <c r="E80" i="7" s="1"/>
  <c r="G80" i="7" s="1"/>
  <c r="H80" i="7" s="1"/>
  <c r="P79" i="7"/>
  <c r="P78" i="7" s="1"/>
  <c r="F77" i="7"/>
  <c r="D77" i="7"/>
  <c r="P76" i="7"/>
  <c r="G76" i="7"/>
  <c r="H76" i="7" s="1"/>
  <c r="P75" i="7"/>
  <c r="G75" i="7"/>
  <c r="H75" i="7" s="1"/>
  <c r="P73" i="7"/>
  <c r="P72" i="7"/>
  <c r="P71" i="7"/>
  <c r="P70" i="7"/>
  <c r="P69" i="7"/>
  <c r="P66" i="7"/>
  <c r="P65" i="7"/>
  <c r="P64" i="7"/>
  <c r="P62" i="7"/>
  <c r="G62" i="7"/>
  <c r="H62" i="7" s="1"/>
  <c r="P61" i="7"/>
  <c r="G61" i="7"/>
  <c r="H61" i="7" s="1"/>
  <c r="P60" i="7"/>
  <c r="G60" i="7"/>
  <c r="H60" i="7" s="1"/>
  <c r="P59" i="7"/>
  <c r="E59" i="7" s="1"/>
  <c r="G59" i="7" s="1"/>
  <c r="H59" i="7" s="1"/>
  <c r="P58" i="7"/>
  <c r="G58" i="7"/>
  <c r="H58" i="7" s="1"/>
  <c r="P57" i="7"/>
  <c r="P56" i="7"/>
  <c r="G56" i="7"/>
  <c r="H56" i="7" s="1"/>
  <c r="P55" i="7"/>
  <c r="P54" i="7"/>
  <c r="G54" i="7"/>
  <c r="H54" i="7" s="1"/>
  <c r="P53" i="7"/>
  <c r="P51" i="7"/>
  <c r="G51" i="7"/>
  <c r="H51" i="7" s="1"/>
  <c r="P50" i="7"/>
  <c r="F49" i="7"/>
  <c r="D49" i="7"/>
  <c r="P48" i="7"/>
  <c r="G48" i="7"/>
  <c r="H48" i="7" s="1"/>
  <c r="P47" i="7"/>
  <c r="P46" i="7"/>
  <c r="G46" i="7"/>
  <c r="H46" i="7" s="1"/>
  <c r="P45" i="7"/>
  <c r="G44" i="7"/>
  <c r="H44" i="7" s="1"/>
  <c r="P42" i="7"/>
  <c r="P41" i="7"/>
  <c r="P38" i="7"/>
  <c r="P36" i="7" s="1"/>
  <c r="F35" i="7"/>
  <c r="F6" i="7" s="1"/>
  <c r="D35" i="7"/>
  <c r="P34" i="7"/>
  <c r="P33" i="7"/>
  <c r="P32" i="7"/>
  <c r="P31" i="7"/>
  <c r="G28" i="7"/>
  <c r="H28" i="7" s="1"/>
  <c r="G27" i="7"/>
  <c r="H27" i="7" s="1"/>
  <c r="G26" i="7"/>
  <c r="H26" i="7" s="1"/>
  <c r="G25" i="7"/>
  <c r="H25" i="7" s="1"/>
  <c r="G24" i="7"/>
  <c r="H24" i="7" s="1"/>
  <c r="G22" i="7"/>
  <c r="H22" i="7" s="1"/>
  <c r="P20" i="7"/>
  <c r="P19" i="7"/>
  <c r="P18" i="7"/>
  <c r="P17" i="7"/>
  <c r="P16" i="7"/>
  <c r="P15" i="7"/>
  <c r="P14" i="7"/>
  <c r="P12" i="7"/>
  <c r="P11" i="7"/>
  <c r="P10" i="7"/>
  <c r="P9" i="7"/>
  <c r="F7" i="7"/>
  <c r="D7" i="7"/>
  <c r="D6" i="7" s="1"/>
  <c r="F5" i="7"/>
  <c r="P91" i="6"/>
  <c r="G91" i="6"/>
  <c r="H91" i="6" s="1"/>
  <c r="P90" i="6"/>
  <c r="P89" i="6"/>
  <c r="H89" i="6"/>
  <c r="P87" i="6"/>
  <c r="E87" i="6" s="1"/>
  <c r="G87" i="6" s="1"/>
  <c r="H87" i="6" s="1"/>
  <c r="P86" i="6"/>
  <c r="E86" i="6" s="1"/>
  <c r="D85" i="6"/>
  <c r="D84" i="6" s="1"/>
  <c r="F84" i="6"/>
  <c r="P83" i="6"/>
  <c r="E83" i="6" s="1"/>
  <c r="G83" i="6" s="1"/>
  <c r="H83" i="6" s="1"/>
  <c r="P82" i="6"/>
  <c r="E82" i="6" s="1"/>
  <c r="G82" i="6" s="1"/>
  <c r="H82" i="6" s="1"/>
  <c r="P81" i="6"/>
  <c r="E81" i="6" s="1"/>
  <c r="G81" i="6" s="1"/>
  <c r="H81" i="6" s="1"/>
  <c r="F80" i="6"/>
  <c r="F79" i="6" s="1"/>
  <c r="D80" i="6"/>
  <c r="D79" i="6" s="1"/>
  <c r="P78" i="6"/>
  <c r="P77" i="6"/>
  <c r="P76" i="6"/>
  <c r="P75" i="6"/>
  <c r="P73" i="6"/>
  <c r="G73" i="6"/>
  <c r="P72" i="6"/>
  <c r="P70" i="6"/>
  <c r="P69" i="6"/>
  <c r="P67" i="6"/>
  <c r="G67" i="6"/>
  <c r="P66" i="6"/>
  <c r="G66" i="6"/>
  <c r="F64" i="6"/>
  <c r="D64" i="6"/>
  <c r="D63" i="6" s="1"/>
  <c r="F63" i="6"/>
  <c r="P62" i="6"/>
  <c r="P61" i="6"/>
  <c r="H61" i="6"/>
  <c r="P60" i="6"/>
  <c r="P59" i="6"/>
  <c r="P58" i="6"/>
  <c r="P57" i="6"/>
  <c r="P56" i="6"/>
  <c r="H56" i="6"/>
  <c r="P55" i="6"/>
  <c r="G55" i="6"/>
  <c r="H55" i="6" s="1"/>
  <c r="P53" i="6"/>
  <c r="P52" i="6"/>
  <c r="G52" i="6"/>
  <c r="F50" i="6"/>
  <c r="D50" i="6"/>
  <c r="P49" i="6"/>
  <c r="P48" i="6"/>
  <c r="P47" i="6"/>
  <c r="P46" i="6"/>
  <c r="P44" i="6"/>
  <c r="P43" i="6"/>
  <c r="P41" i="6"/>
  <c r="P40" i="6"/>
  <c r="P39" i="6"/>
  <c r="P38" i="6"/>
  <c r="P36" i="6"/>
  <c r="P35" i="6" s="1"/>
  <c r="F34" i="6"/>
  <c r="F33" i="6" s="1"/>
  <c r="D34" i="6"/>
  <c r="P32" i="6"/>
  <c r="P31" i="6" s="1"/>
  <c r="F30" i="6"/>
  <c r="F29" i="6" s="1"/>
  <c r="D30" i="6"/>
  <c r="D29" i="6" s="1"/>
  <c r="P28" i="6"/>
  <c r="P27" i="6"/>
  <c r="P26" i="6"/>
  <c r="P25" i="6" s="1"/>
  <c r="P24" i="6" s="1"/>
  <c r="D24" i="6"/>
  <c r="D23" i="6" s="1"/>
  <c r="P22" i="6"/>
  <c r="P21" i="6" s="1"/>
  <c r="E21" i="6" s="1"/>
  <c r="G21" i="6" s="1"/>
  <c r="P20" i="6"/>
  <c r="P19" i="6"/>
  <c r="P18" i="6"/>
  <c r="P16" i="6"/>
  <c r="P15" i="6"/>
  <c r="P14" i="6"/>
  <c r="P13" i="6"/>
  <c r="P12" i="6"/>
  <c r="P11" i="6"/>
  <c r="P10" i="6"/>
  <c r="F8" i="6"/>
  <c r="F7" i="6" s="1"/>
  <c r="D8" i="6"/>
  <c r="D7" i="6" s="1"/>
  <c r="F6" i="6"/>
  <c r="P8" i="7" l="1"/>
  <c r="P178" i="7"/>
  <c r="P67" i="7"/>
  <c r="E67" i="7" s="1"/>
  <c r="G67" i="7" s="1"/>
  <c r="H67" i="7" s="1"/>
  <c r="P117" i="7"/>
  <c r="E117" i="7" s="1"/>
  <c r="G117" i="7" s="1"/>
  <c r="H117" i="7" s="1"/>
  <c r="P139" i="7"/>
  <c r="E139" i="7" s="1"/>
  <c r="G139" i="7" s="1"/>
  <c r="H139" i="7" s="1"/>
  <c r="P143" i="7"/>
  <c r="E143" i="7" s="1"/>
  <c r="G143" i="7" s="1"/>
  <c r="H143" i="7" s="1"/>
  <c r="P169" i="7"/>
  <c r="P42" i="6"/>
  <c r="E42" i="6" s="1"/>
  <c r="G42" i="6" s="1"/>
  <c r="H42" i="6" s="1"/>
  <c r="P37" i="6"/>
  <c r="E37" i="6" s="1"/>
  <c r="G37" i="6" s="1"/>
  <c r="H37" i="6" s="1"/>
  <c r="P65" i="6"/>
  <c r="E65" i="6" s="1"/>
  <c r="G65" i="6" s="1"/>
  <c r="H65" i="6" s="1"/>
  <c r="P68" i="6"/>
  <c r="E68" i="6" s="1"/>
  <c r="G68" i="6" s="1"/>
  <c r="H68" i="6" s="1"/>
  <c r="D33" i="6"/>
  <c r="P51" i="6"/>
  <c r="P71" i="6"/>
  <c r="E71" i="6" s="1"/>
  <c r="G71" i="6" s="1"/>
  <c r="H71" i="6" s="1"/>
  <c r="G282" i="7"/>
  <c r="H282" i="7" s="1"/>
  <c r="G162" i="7"/>
  <c r="H162" i="7" s="1"/>
  <c r="G274" i="7"/>
  <c r="H274" i="7" s="1"/>
  <c r="G235" i="7"/>
  <c r="H235" i="7" s="1"/>
  <c r="G232" i="7"/>
  <c r="H232" i="7" s="1"/>
  <c r="G307" i="7"/>
  <c r="H307" i="7" s="1"/>
  <c r="E36" i="7"/>
  <c r="G36" i="7" s="1"/>
  <c r="H36" i="7" s="1"/>
  <c r="F24" i="6"/>
  <c r="F23" i="6" s="1"/>
  <c r="G288" i="7"/>
  <c r="H288" i="7" s="1"/>
  <c r="G311" i="7"/>
  <c r="G314" i="7"/>
  <c r="H314" i="7" s="1"/>
  <c r="G227" i="7"/>
  <c r="H227" i="7" s="1"/>
  <c r="G230" i="7"/>
  <c r="H230" i="7" s="1"/>
  <c r="G246" i="7"/>
  <c r="H246" i="7" s="1"/>
  <c r="G267" i="7"/>
  <c r="H267" i="7" s="1"/>
  <c r="G278" i="7"/>
  <c r="H278" i="7" s="1"/>
  <c r="G286" i="7"/>
  <c r="H286" i="7" s="1"/>
  <c r="G300" i="7"/>
  <c r="H300" i="7" s="1"/>
  <c r="G312" i="7"/>
  <c r="P54" i="6"/>
  <c r="E54" i="6" s="1"/>
  <c r="P52" i="7"/>
  <c r="P86" i="7"/>
  <c r="P187" i="7"/>
  <c r="E187" i="7" s="1"/>
  <c r="G234" i="7"/>
  <c r="H234" i="7" s="1"/>
  <c r="G237" i="7"/>
  <c r="H237" i="7" s="1"/>
  <c r="G242" i="7"/>
  <c r="H242" i="7" s="1"/>
  <c r="G296" i="7"/>
  <c r="H296" i="7" s="1"/>
  <c r="P29" i="7"/>
  <c r="P90" i="7"/>
  <c r="P114" i="7"/>
  <c r="P103" i="7" s="1"/>
  <c r="E103" i="7" s="1"/>
  <c r="G103" i="7" s="1"/>
  <c r="H103" i="7" s="1"/>
  <c r="P199" i="7"/>
  <c r="E199" i="7" s="1"/>
  <c r="G199" i="7" s="1"/>
  <c r="H199" i="7" s="1"/>
  <c r="G225" i="7"/>
  <c r="H225" i="7" s="1"/>
  <c r="G258" i="7"/>
  <c r="H258" i="7" s="1"/>
  <c r="G265" i="7"/>
  <c r="H265" i="7" s="1"/>
  <c r="G271" i="7"/>
  <c r="H271" i="7" s="1"/>
  <c r="G292" i="7"/>
  <c r="H292" i="7" s="1"/>
  <c r="P74" i="6"/>
  <c r="E74" i="6" s="1"/>
  <c r="G74" i="6" s="1"/>
  <c r="H74" i="6" s="1"/>
  <c r="P74" i="7"/>
  <c r="E74" i="7" s="1"/>
  <c r="G74" i="7" s="1"/>
  <c r="H74" i="7" s="1"/>
  <c r="F84" i="7"/>
  <c r="P107" i="7"/>
  <c r="P123" i="7"/>
  <c r="E123" i="7" s="1"/>
  <c r="D6" i="6"/>
  <c r="P63" i="7"/>
  <c r="P110" i="7"/>
  <c r="P130" i="7"/>
  <c r="E130" i="7" s="1"/>
  <c r="P157" i="7"/>
  <c r="E157" i="7" s="1"/>
  <c r="P165" i="7"/>
  <c r="E165" i="7" s="1"/>
  <c r="P324" i="7"/>
  <c r="E324" i="7" s="1"/>
  <c r="P205" i="7"/>
  <c r="P43" i="7"/>
  <c r="P13" i="7"/>
  <c r="D84" i="7"/>
  <c r="D5" i="7" s="1"/>
  <c r="G287" i="7"/>
  <c r="H287" i="7" s="1"/>
  <c r="P88" i="6"/>
  <c r="E88" i="6" s="1"/>
  <c r="E85" i="6" s="1"/>
  <c r="G86" i="6"/>
  <c r="H86" i="6" s="1"/>
  <c r="P45" i="6"/>
  <c r="E45" i="6" s="1"/>
  <c r="P17" i="6"/>
  <c r="E17" i="6" s="1"/>
  <c r="G137" i="7"/>
  <c r="H137" i="7" s="1"/>
  <c r="P149" i="7"/>
  <c r="P148" i="7" s="1"/>
  <c r="E121" i="7"/>
  <c r="G244" i="7"/>
  <c r="H244" i="7" s="1"/>
  <c r="G315" i="7"/>
  <c r="H315" i="7" s="1"/>
  <c r="G318" i="7"/>
  <c r="H318" i="7" s="1"/>
  <c r="E51" i="6"/>
  <c r="E223" i="7"/>
  <c r="P222" i="7"/>
  <c r="E222" i="7" s="1"/>
  <c r="G222" i="7" s="1"/>
  <c r="H222" i="7" s="1"/>
  <c r="E8" i="7"/>
  <c r="P22" i="7"/>
  <c r="P21" i="7" s="1"/>
  <c r="E21" i="7" s="1"/>
  <c r="E78" i="7"/>
  <c r="P77" i="7"/>
  <c r="E31" i="6"/>
  <c r="P30" i="6"/>
  <c r="P29" i="6" s="1"/>
  <c r="E50" i="7"/>
  <c r="P23" i="6"/>
  <c r="E25" i="6"/>
  <c r="E35" i="6"/>
  <c r="E80" i="6"/>
  <c r="E169" i="7"/>
  <c r="P186" i="7"/>
  <c r="G260" i="7"/>
  <c r="H260" i="7" s="1"/>
  <c r="G273" i="7"/>
  <c r="H273" i="7" s="1"/>
  <c r="G277" i="7"/>
  <c r="H277" i="7" s="1"/>
  <c r="G281" i="7"/>
  <c r="H281" i="7" s="1"/>
  <c r="G289" i="7"/>
  <c r="H289" i="7" s="1"/>
  <c r="G293" i="7"/>
  <c r="H293" i="7" s="1"/>
  <c r="G297" i="7"/>
  <c r="H297" i="7" s="1"/>
  <c r="G305" i="7"/>
  <c r="H305" i="7" s="1"/>
  <c r="P9" i="6"/>
  <c r="P175" i="7"/>
  <c r="E176" i="7"/>
  <c r="G256" i="7"/>
  <c r="H256" i="7" s="1"/>
  <c r="G328" i="7"/>
  <c r="H328" i="7" s="1"/>
  <c r="P93" i="7"/>
  <c r="H178" i="7"/>
  <c r="G252" i="7"/>
  <c r="H252" i="7" s="1"/>
  <c r="G268" i="7"/>
  <c r="H268" i="7" s="1"/>
  <c r="P80" i="6"/>
  <c r="P79" i="6" s="1"/>
  <c r="P40" i="7"/>
  <c r="E40" i="7" s="1"/>
  <c r="E205" i="7"/>
  <c r="P204" i="7"/>
  <c r="G248" i="7"/>
  <c r="H248" i="7" s="1"/>
  <c r="G264" i="7"/>
  <c r="H264" i="7" s="1"/>
  <c r="P182" i="7"/>
  <c r="E220" i="7"/>
  <c r="P219" i="7"/>
  <c r="P196" i="7"/>
  <c r="P216" i="7"/>
  <c r="P320" i="7"/>
  <c r="P49" i="7" l="1"/>
  <c r="P147" i="7"/>
  <c r="P64" i="6"/>
  <c r="P34" i="6"/>
  <c r="P50" i="6"/>
  <c r="P33" i="6" s="1"/>
  <c r="G324" i="7"/>
  <c r="H324" i="7" s="1"/>
  <c r="E110" i="7"/>
  <c r="G110" i="7" s="1"/>
  <c r="H110" i="7" s="1"/>
  <c r="E114" i="7"/>
  <c r="G114" i="7" s="1"/>
  <c r="H114" i="7" s="1"/>
  <c r="E86" i="7"/>
  <c r="G86" i="7" s="1"/>
  <c r="H86" i="7" s="1"/>
  <c r="P164" i="7"/>
  <c r="E164" i="7"/>
  <c r="G164" i="7" s="1"/>
  <c r="H164" i="7" s="1"/>
  <c r="G157" i="7"/>
  <c r="H157" i="7" s="1"/>
  <c r="E107" i="7"/>
  <c r="G107" i="7" s="1"/>
  <c r="H107" i="7" s="1"/>
  <c r="E90" i="7"/>
  <c r="G90" i="7" s="1"/>
  <c r="H90" i="7" s="1"/>
  <c r="E52" i="7"/>
  <c r="G52" i="7" s="1"/>
  <c r="H52" i="7" s="1"/>
  <c r="E63" i="7"/>
  <c r="G63" i="7" s="1"/>
  <c r="H63" i="7" s="1"/>
  <c r="G123" i="7"/>
  <c r="H123" i="7" s="1"/>
  <c r="P35" i="7"/>
  <c r="G165" i="7"/>
  <c r="H165" i="7" s="1"/>
  <c r="P120" i="7"/>
  <c r="E120" i="7" s="1"/>
  <c r="G120" i="7" s="1"/>
  <c r="H120" i="7" s="1"/>
  <c r="G130" i="7"/>
  <c r="H130" i="7" s="1"/>
  <c r="E29" i="7"/>
  <c r="G29" i="7" s="1"/>
  <c r="H29" i="7" s="1"/>
  <c r="G54" i="6"/>
  <c r="H54" i="6" s="1"/>
  <c r="E43" i="7"/>
  <c r="E13" i="7"/>
  <c r="G13" i="7" s="1"/>
  <c r="H13" i="7" s="1"/>
  <c r="G88" i="6"/>
  <c r="H88" i="6" s="1"/>
  <c r="P85" i="6"/>
  <c r="P84" i="6" s="1"/>
  <c r="G45" i="6"/>
  <c r="H45" i="6" s="1"/>
  <c r="G17" i="6"/>
  <c r="H17" i="6" s="1"/>
  <c r="E148" i="7"/>
  <c r="P181" i="7"/>
  <c r="E181" i="7" s="1"/>
  <c r="G181" i="7" s="1"/>
  <c r="H181" i="7" s="1"/>
  <c r="E182" i="7"/>
  <c r="E93" i="7"/>
  <c r="G187" i="7"/>
  <c r="H187" i="7" s="1"/>
  <c r="E186" i="7"/>
  <c r="G186" i="7" s="1"/>
  <c r="H186" i="7" s="1"/>
  <c r="E79" i="6"/>
  <c r="G79" i="6" s="1"/>
  <c r="H79" i="6" s="1"/>
  <c r="G80" i="6"/>
  <c r="H80" i="6" s="1"/>
  <c r="G25" i="6"/>
  <c r="H25" i="6" s="1"/>
  <c r="E24" i="6"/>
  <c r="G31" i="6"/>
  <c r="H31" i="6" s="1"/>
  <c r="E30" i="6"/>
  <c r="G78" i="7"/>
  <c r="H78" i="7" s="1"/>
  <c r="E77" i="7"/>
  <c r="G77" i="7" s="1"/>
  <c r="H77" i="7" s="1"/>
  <c r="G8" i="7"/>
  <c r="H8" i="7" s="1"/>
  <c r="G121" i="7"/>
  <c r="J25" i="7"/>
  <c r="P25" i="7" s="1"/>
  <c r="J26" i="7" s="1"/>
  <c r="P26" i="7" s="1"/>
  <c r="P24" i="7"/>
  <c r="E196" i="7"/>
  <c r="P195" i="7"/>
  <c r="P63" i="6"/>
  <c r="E64" i="6"/>
  <c r="P85" i="7"/>
  <c r="G21" i="7"/>
  <c r="H21" i="7" s="1"/>
  <c r="G223" i="7"/>
  <c r="H223" i="7" s="1"/>
  <c r="E50" i="6"/>
  <c r="G50" i="6" s="1"/>
  <c r="H50" i="6" s="1"/>
  <c r="G51" i="6"/>
  <c r="H51" i="6" s="1"/>
  <c r="P215" i="7"/>
  <c r="E216" i="7"/>
  <c r="G35" i="6"/>
  <c r="H35" i="6" s="1"/>
  <c r="E34" i="6"/>
  <c r="E204" i="7"/>
  <c r="G204" i="7" s="1"/>
  <c r="H204" i="7" s="1"/>
  <c r="G205" i="7"/>
  <c r="H205" i="7" s="1"/>
  <c r="G85" i="6"/>
  <c r="E84" i="6"/>
  <c r="P8" i="6"/>
  <c r="P7" i="6" s="1"/>
  <c r="E9" i="6"/>
  <c r="P319" i="7"/>
  <c r="E319" i="7" s="1"/>
  <c r="G319" i="7" s="1"/>
  <c r="H319" i="7" s="1"/>
  <c r="E320" i="7"/>
  <c r="E219" i="7"/>
  <c r="G219" i="7" s="1"/>
  <c r="H219" i="7" s="1"/>
  <c r="G220" i="7"/>
  <c r="H220" i="7" s="1"/>
  <c r="G40" i="7"/>
  <c r="H40" i="7" s="1"/>
  <c r="E175" i="7"/>
  <c r="G175" i="7" s="1"/>
  <c r="H175" i="7" s="1"/>
  <c r="G176" i="7"/>
  <c r="H176" i="7" s="1"/>
  <c r="G169" i="7"/>
  <c r="H169" i="7" s="1"/>
  <c r="G50" i="7"/>
  <c r="H50" i="7" s="1"/>
  <c r="E49" i="7"/>
  <c r="G49" i="7" s="1"/>
  <c r="H49" i="7" s="1"/>
  <c r="P28" i="7"/>
  <c r="P27" i="7"/>
  <c r="G148" i="7" l="1"/>
  <c r="H148" i="7" s="1"/>
  <c r="G43" i="7"/>
  <c r="H43" i="7" s="1"/>
  <c r="E35" i="7"/>
  <c r="G35" i="7" s="1"/>
  <c r="H35" i="7" s="1"/>
  <c r="E147" i="7"/>
  <c r="G147" i="7" s="1"/>
  <c r="H147" i="7" s="1"/>
  <c r="G34" i="6"/>
  <c r="H34" i="6" s="1"/>
  <c r="E33" i="6"/>
  <c r="G33" i="6" s="1"/>
  <c r="H33" i="6" s="1"/>
  <c r="G24" i="6"/>
  <c r="H24" i="6" s="1"/>
  <c r="E23" i="6"/>
  <c r="G23" i="6" s="1"/>
  <c r="H23" i="6" s="1"/>
  <c r="G93" i="7"/>
  <c r="H93" i="7" s="1"/>
  <c r="E85" i="7"/>
  <c r="H85" i="6"/>
  <c r="G84" i="6"/>
  <c r="H84" i="6" s="1"/>
  <c r="G64" i="6"/>
  <c r="H64" i="6" s="1"/>
  <c r="E63" i="6"/>
  <c r="G63" i="6" s="1"/>
  <c r="H63" i="6" s="1"/>
  <c r="P6" i="6"/>
  <c r="E215" i="7"/>
  <c r="G215" i="7" s="1"/>
  <c r="H215" i="7" s="1"/>
  <c r="G216" i="7"/>
  <c r="H216" i="7" s="1"/>
  <c r="E29" i="6"/>
  <c r="G29" i="6" s="1"/>
  <c r="H29" i="6" s="1"/>
  <c r="G30" i="6"/>
  <c r="H30" i="6" s="1"/>
  <c r="G182" i="7"/>
  <c r="H182" i="7" s="1"/>
  <c r="P23" i="7"/>
  <c r="E8" i="6"/>
  <c r="G9" i="6"/>
  <c r="H9" i="6" s="1"/>
  <c r="G320" i="7"/>
  <c r="H320" i="7" s="1"/>
  <c r="P84" i="7"/>
  <c r="E195" i="7"/>
  <c r="G195" i="7" s="1"/>
  <c r="H195" i="7" s="1"/>
  <c r="G196" i="7"/>
  <c r="H196" i="7" s="1"/>
  <c r="E7" i="6" l="1"/>
  <c r="G8" i="6"/>
  <c r="H8" i="6" s="1"/>
  <c r="E23" i="7"/>
  <c r="P7" i="7"/>
  <c r="P6" i="7" s="1"/>
  <c r="P5" i="7" s="1"/>
  <c r="E84" i="7"/>
  <c r="G84" i="7" s="1"/>
  <c r="H84" i="7" s="1"/>
  <c r="G85" i="7"/>
  <c r="H85" i="7" s="1"/>
  <c r="G23" i="7" l="1"/>
  <c r="H23" i="7" s="1"/>
  <c r="E7" i="7"/>
  <c r="G7" i="6"/>
  <c r="H7" i="6" s="1"/>
  <c r="E6" i="6"/>
  <c r="G6" i="6" s="1"/>
  <c r="H6" i="6" s="1"/>
  <c r="G7" i="7" l="1"/>
  <c r="H7" i="7" s="1"/>
  <c r="E6" i="7"/>
  <c r="G6" i="7" l="1"/>
  <c r="H6" i="7" s="1"/>
  <c r="E5" i="7"/>
  <c r="G5" i="7" s="1"/>
  <c r="H5" i="7" s="1"/>
</calcChain>
</file>

<file path=xl/sharedStrings.xml><?xml version="1.0" encoding="utf-8"?>
<sst xmlns="http://schemas.openxmlformats.org/spreadsheetml/2006/main" count="2360" uniqueCount="489">
  <si>
    <t>1인 개인사정으로 학업을 지속할 수 없어 장학생 선정 취소.</t>
  </si>
  <si>
    <t>2021년부터 분리 적용, 온라인 모금 사업 확대에 따른 증액</t>
  </si>
  <si>
    <t>제2조 1. 세입ㆍ세출의 명세는 세입ㆍ세출 예산서와 같다.</t>
  </si>
  <si>
    <t>㈜휴먼소프트웨어(MRM), SK브로드밴드 인터넷 전화기 사용료</t>
  </si>
  <si>
    <t>세출경비가 부족할 경우에는 사회복지법인 및 사회복지시설 재무회계규칙 제 16조에 의거하여 예산을 전용할 수 있다.</t>
  </si>
  <si>
    <t>국가 또는 지자체로부터 교부된 보조금 및 수익자 부담경비, 후원금 등은 추가경정예산 성립 이전에 사용할 수 있으며</t>
  </si>
  <si>
    <t>2020년 9월~12월 한끼100원 비용 추가, 상반기내로 종결예정</t>
  </si>
  <si>
    <t xml:space="preserve">3. 세출의 내용은 다음과 같다. </t>
  </si>
  <si>
    <t>동자동 임대수입(1층,지하층)</t>
  </si>
  <si>
    <t>성무활동비 및 미사예물(사제)</t>
  </si>
  <si>
    <t>11월 12월 혼배기부 축복미 추가</t>
  </si>
  <si>
    <t>2020년한마음지원금 잔액반환 등</t>
  </si>
  <si>
    <t>양초사업 대여금 상환 관련 수입</t>
  </si>
  <si>
    <t>기획사업(가톨릭사회복지운영지표)</t>
  </si>
  <si>
    <t>기타후생비(장기근속포상 포함)</t>
  </si>
  <si>
    <t xml:space="preserve">2012년 11월 집행액(C)
</t>
  </si>
  <si>
    <t>온라인모금(해피빈, 신한아름인)</t>
  </si>
  <si>
    <t>카사지센 사업비 지원(자부담)</t>
  </si>
  <si>
    <t>이주사목위원회 지원(4개시설)</t>
  </si>
  <si>
    <t>&lt;수탁조기종료 2021.6.30&gt;</t>
  </si>
  <si>
    <t>바보의나눔 지원금</t>
  </si>
  <si>
    <t>회장 직책보조비</t>
  </si>
  <si>
    <t>사회복지사업 지원금</t>
  </si>
  <si>
    <t>구로구육아종합지원센터</t>
  </si>
  <si>
    <t>로사리아공동생활</t>
  </si>
  <si>
    <t>(단위 : 천원)</t>
  </si>
  <si>
    <t>신풍오피스텔 임대</t>
  </si>
  <si>
    <t>신림성모성당데이</t>
  </si>
  <si>
    <t>임대료 지원(본회)</t>
  </si>
  <si>
    <t xml:space="preserve"> - 메뉴얼제작비</t>
  </si>
  <si>
    <t>바오로교실주간보호</t>
  </si>
  <si>
    <t>서로함께(청담)</t>
  </si>
  <si>
    <t>시흥4동성당데이</t>
  </si>
  <si>
    <t>보금자리공동생활</t>
  </si>
  <si>
    <t>헬렌켈러주간보호</t>
  </si>
  <si>
    <t>프란치스코어린이집</t>
  </si>
  <si>
    <t>혼배기부 축복미</t>
  </si>
  <si>
    <t xml:space="preserve"> - 실무자회의비외</t>
  </si>
  <si>
    <t>화곡본동성당데이</t>
  </si>
  <si>
    <t>등촌7종합복지관</t>
  </si>
  <si>
    <t xml:space="preserve"> 자기개발과정</t>
  </si>
  <si>
    <t>야근 식대</t>
  </si>
  <si>
    <t>사회조사</t>
  </si>
  <si>
    <t>자기개발과정</t>
  </si>
  <si>
    <t>재산세 등</t>
  </si>
  <si>
    <t>사랑의집</t>
  </si>
  <si>
    <t>1.  세 입</t>
  </si>
  <si>
    <t>7) 잡수입</t>
  </si>
  <si>
    <t>재산수입</t>
  </si>
  <si>
    <t>기타 시설비</t>
  </si>
  <si>
    <t>재난재해</t>
  </si>
  <si>
    <t>차량유지비</t>
  </si>
  <si>
    <t>교육사업</t>
  </si>
  <si>
    <t>출판사업</t>
  </si>
  <si>
    <t>기타추진비</t>
  </si>
  <si>
    <t>지역사회</t>
  </si>
  <si>
    <t>시설전출금</t>
  </si>
  <si>
    <t>선교200주년</t>
  </si>
  <si>
    <t>법인 행사비</t>
  </si>
  <si>
    <t>교구지원금</t>
  </si>
  <si>
    <t>이사회 회의비</t>
  </si>
  <si>
    <t>제세공과금</t>
  </si>
  <si>
    <t>기타지원금</t>
  </si>
  <si>
    <t>총  계</t>
  </si>
  <si>
    <t>교구보조금</t>
  </si>
  <si>
    <t>기관운영비</t>
  </si>
  <si>
    <t>모금사업</t>
  </si>
  <si>
    <t>기타잡수입</t>
  </si>
  <si>
    <t>사업평가회</t>
  </si>
  <si>
    <t>보호사업</t>
  </si>
  <si>
    <t>1) 재산수입</t>
  </si>
  <si>
    <t>혼배기부사업비</t>
  </si>
  <si>
    <t>세실리아장학금</t>
  </si>
  <si>
    <t>본당지원금</t>
  </si>
  <si>
    <t>복지사업</t>
  </si>
  <si>
    <t>디딤자리</t>
  </si>
  <si>
    <t>諸유지보수비</t>
  </si>
  <si>
    <t xml:space="preserve">제1조 </t>
  </si>
  <si>
    <t>소  계</t>
  </si>
  <si>
    <t>인터넷사용료</t>
  </si>
  <si>
    <t>본당모금사업</t>
  </si>
  <si>
    <t>지로모금사업비</t>
  </si>
  <si>
    <t>종사자
교육비</t>
  </si>
  <si>
    <t>도곡어린이집</t>
  </si>
  <si>
    <t>사업관리</t>
  </si>
  <si>
    <t>성동노인복지관</t>
  </si>
  <si>
    <t>지정후원금</t>
  </si>
  <si>
    <t>특별지원사업</t>
  </si>
  <si>
    <t>성모영보장학회</t>
  </si>
  <si>
    <t>원당어린이집</t>
  </si>
  <si>
    <t>증감(B-A)</t>
  </si>
  <si>
    <t>장학금 지급</t>
  </si>
  <si>
    <t>대외협력사업</t>
  </si>
  <si>
    <t>5) 후원금</t>
  </si>
  <si>
    <t>보미나어린이집</t>
  </si>
  <si>
    <t>한마음지원금</t>
  </si>
  <si>
    <t>기타수수료</t>
  </si>
  <si>
    <t>요안나장학회</t>
  </si>
  <si>
    <t>전례준비비</t>
  </si>
  <si>
    <t>해뜨락어린이집</t>
  </si>
  <si>
    <t>지정후원이월금</t>
  </si>
  <si>
    <t>자산취득비</t>
  </si>
  <si>
    <t>마음자리</t>
  </si>
  <si>
    <t>재해복구비</t>
  </si>
  <si>
    <t>기타예비비</t>
  </si>
  <si>
    <t>정근수당</t>
  </si>
  <si>
    <t>6) 상환금</t>
  </si>
  <si>
    <t>말가리다장학회</t>
  </si>
  <si>
    <t>5) 잡지출</t>
  </si>
  <si>
    <t>지정후원예비비</t>
  </si>
  <si>
    <t>공공요금</t>
  </si>
  <si>
    <t>금전출납</t>
  </si>
  <si>
    <t>2) 사업수입</t>
  </si>
  <si>
    <t>홍보출판</t>
  </si>
  <si>
    <t>모금관리</t>
  </si>
  <si>
    <t>장학금지급</t>
  </si>
  <si>
    <t>국민연금</t>
  </si>
  <si>
    <t>송화어린이집</t>
  </si>
  <si>
    <t>보조금수입</t>
  </si>
  <si>
    <t>한빛어린이집</t>
  </si>
  <si>
    <t>예금이자수입</t>
  </si>
  <si>
    <t>법인재산관리비</t>
  </si>
  <si>
    <t>후원자관리</t>
  </si>
  <si>
    <t>전문가 자문비</t>
  </si>
  <si>
    <t>왕십리성당데이</t>
  </si>
  <si>
    <t>지로후원</t>
  </si>
  <si>
    <t>동작종합복지관</t>
  </si>
  <si>
    <t>산재보험</t>
  </si>
  <si>
    <t xml:space="preserve">제4조 </t>
  </si>
  <si>
    <t>교육사업수입</t>
  </si>
  <si>
    <t>소모품비</t>
  </si>
  <si>
    <t>강서푸드마켓</t>
  </si>
  <si>
    <t>교정사목지원</t>
  </si>
  <si>
    <t>유락종합복지관</t>
  </si>
  <si>
    <t>다향공동생활</t>
  </si>
  <si>
    <t>천호동성당데이</t>
  </si>
  <si>
    <t>시설지정기탁</t>
  </si>
  <si>
    <t>자부담이월금</t>
  </si>
  <si>
    <t>금천노인복지관</t>
  </si>
  <si>
    <t>기타보조금수입</t>
  </si>
  <si>
    <t>교육자문위원회</t>
  </si>
  <si>
    <t>자기계발비</t>
  </si>
  <si>
    <t>운영위원회의</t>
  </si>
  <si>
    <t>목동어린이집</t>
  </si>
  <si>
    <t>건강보험</t>
  </si>
  <si>
    <t>재가특별지원</t>
  </si>
  <si>
    <t>상계동성당데이</t>
  </si>
  <si>
    <t>우편물발송비</t>
  </si>
  <si>
    <t>직원 경조사비</t>
  </si>
  <si>
    <t>고덕양로원</t>
  </si>
  <si>
    <t>시설장비유지비</t>
  </si>
  <si>
    <t>3) 사업비</t>
  </si>
  <si>
    <t>요양보험</t>
  </si>
  <si>
    <t>기타재산수입</t>
  </si>
  <si>
    <t>퇴직연금</t>
  </si>
  <si>
    <t>지역사회모금</t>
  </si>
  <si>
    <t>고용보험</t>
  </si>
  <si>
    <t>임대수입</t>
  </si>
  <si>
    <t>고척동성당데이</t>
  </si>
  <si>
    <t>구파발성당데이</t>
  </si>
  <si>
    <t>4) 전입금</t>
  </si>
  <si>
    <t xml:space="preserve">제5조 </t>
  </si>
  <si>
    <t>차년도이월금</t>
  </si>
  <si>
    <t>햇빛자리</t>
  </si>
  <si>
    <t>차량유류대</t>
  </si>
  <si>
    <t>1) 사무비</t>
  </si>
  <si>
    <t>본당신자교육</t>
  </si>
  <si>
    <t>한빛종합복지관</t>
  </si>
  <si>
    <t>정기업무점검</t>
  </si>
  <si>
    <t>소라네공동생활</t>
  </si>
  <si>
    <t>비둘기주간보호</t>
  </si>
  <si>
    <t>은도어린이집</t>
  </si>
  <si>
    <t>기타운영비</t>
  </si>
  <si>
    <t>방배어린이집</t>
  </si>
  <si>
    <t>직책보조비</t>
  </si>
  <si>
    <t>기말수당</t>
  </si>
  <si>
    <t>비율(%)</t>
  </si>
  <si>
    <t>지원사업</t>
  </si>
  <si>
    <t>홈페이지 관리</t>
  </si>
  <si>
    <t>서리풀주간보호</t>
  </si>
  <si>
    <t>CMS관리비</t>
  </si>
  <si>
    <t>사업수입</t>
  </si>
  <si>
    <t>법인세환급금</t>
  </si>
  <si>
    <t>신망애의집</t>
  </si>
  <si>
    <t>희망의집</t>
  </si>
  <si>
    <t>연구기획사업</t>
  </si>
  <si>
    <t>자동차보험모금</t>
  </si>
  <si>
    <t>연희네공동생활</t>
  </si>
  <si>
    <t>홍보대사관리</t>
  </si>
  <si>
    <t>서울주보 홍보</t>
  </si>
  <si>
    <t>활동가교육</t>
  </si>
  <si>
    <t>상계종합복지관</t>
  </si>
  <si>
    <t>공모사업지원금</t>
  </si>
  <si>
    <t>신당종합복지관</t>
  </si>
  <si>
    <t>다사랑공동생활</t>
  </si>
  <si>
    <t>고충처리위원회</t>
  </si>
  <si>
    <t>기타후생경비</t>
  </si>
  <si>
    <t>성지보호작업장</t>
  </si>
  <si>
    <t>및 기타</t>
  </si>
  <si>
    <t>성가정입양원</t>
  </si>
  <si>
    <t>고액후원자관리</t>
  </si>
  <si>
    <t>홍보사업</t>
  </si>
  <si>
    <t>한가족장학회</t>
  </si>
  <si>
    <t>방송모금</t>
  </si>
  <si>
    <t>3) 보조금</t>
  </si>
  <si>
    <t>신망애공동생활</t>
  </si>
  <si>
    <t>2.  세 출</t>
  </si>
  <si>
    <t>연구사업</t>
  </si>
  <si>
    <t>행운동성당데이</t>
  </si>
  <si>
    <t>후원자통합관리</t>
  </si>
  <si>
    <t>갈현동성당데이</t>
  </si>
  <si>
    <t>인식개선사업</t>
  </si>
  <si>
    <t>자료집 제작</t>
  </si>
  <si>
    <t>모금홍보동영상</t>
  </si>
  <si>
    <t>한국종사협 등</t>
  </si>
  <si>
    <t>신당동성당데이</t>
  </si>
  <si>
    <t>한국카리타스</t>
  </si>
  <si>
    <t>출장 여비</t>
  </si>
  <si>
    <t>계좌입금 후원</t>
  </si>
  <si>
    <t>공모지원사업</t>
  </si>
  <si>
    <t>6) 이월금</t>
  </si>
  <si>
    <t>누림학교</t>
  </si>
  <si>
    <t>등록단체지원금</t>
  </si>
  <si>
    <t>금호동성당데이</t>
  </si>
  <si>
    <t>일반모금</t>
  </si>
  <si>
    <t>대외협력
사업</t>
  </si>
  <si>
    <t>벗들의집</t>
  </si>
  <si>
    <t>본당방문모금</t>
  </si>
  <si>
    <t>물품후원탁송료</t>
  </si>
  <si>
    <t>사회복지시설</t>
  </si>
  <si>
    <t>사랑손주간보호</t>
  </si>
  <si>
    <t>루치아공동생활</t>
  </si>
  <si>
    <t>우리들의공부방</t>
  </si>
  <si>
    <t>중곡종합복지관</t>
  </si>
  <si>
    <t>우리집공동체</t>
  </si>
  <si>
    <t>성과공유회</t>
  </si>
  <si>
    <t>두레네공동생활</t>
  </si>
  <si>
    <t>혜화동데이케어</t>
  </si>
  <si>
    <t>해뜨는집</t>
  </si>
  <si>
    <t>시설장연수</t>
  </si>
  <si>
    <t>장학사업</t>
  </si>
  <si>
    <t>본당사회</t>
  </si>
  <si>
    <t>기타 소송경비 등</t>
  </si>
  <si>
    <t>지역사회모금사업</t>
  </si>
  <si>
    <t>재난재해
사업비</t>
  </si>
  <si>
    <t>장애인고용장려금</t>
  </si>
  <si>
    <t>시설인사위원회 회의비</t>
  </si>
  <si>
    <t>사회사목국 연계</t>
  </si>
  <si>
    <t>성빈센트환경마을</t>
  </si>
  <si>
    <t>시설전출금
(후원금)</t>
  </si>
  <si>
    <t>부회장 직책보조비</t>
  </si>
  <si>
    <t xml:space="preserve"> - 업무점검교통비</t>
  </si>
  <si>
    <t>한가족장학금 지정후원</t>
  </si>
  <si>
    <t>내방자 긴급지원</t>
  </si>
  <si>
    <t>성모(등촌)어린이집</t>
  </si>
  <si>
    <t>시설 수탁관리비 등</t>
  </si>
  <si>
    <t>덕계동 임대수입</t>
  </si>
  <si>
    <t>쌍문2동어린이집</t>
  </si>
  <si>
    <t>운영위원회회의비</t>
  </si>
  <si>
    <t>강서직업재활센터</t>
  </si>
  <si>
    <t>비지정후원이월금</t>
  </si>
  <si>
    <t>공모지원사업 운영비</t>
  </si>
  <si>
    <t>2) 재산조성비</t>
  </si>
  <si>
    <t>화해의집 쉼자리</t>
  </si>
  <si>
    <t>후원관리프로그램</t>
  </si>
  <si>
    <t>나자로보호작업장</t>
  </si>
  <si>
    <t>성가정노인복지관</t>
  </si>
  <si>
    <t>사업수행본당 지원</t>
  </si>
  <si>
    <t>헬렌켈러단기거주</t>
  </si>
  <si>
    <t>꿈자람터장애인주간</t>
  </si>
  <si>
    <t>수용비 및
수수료</t>
  </si>
  <si>
    <t>8) 예비비 및 기타</t>
  </si>
  <si>
    <t>베들레헴어린이집</t>
  </si>
  <si>
    <t>중구장애인복지관</t>
  </si>
  <si>
    <t>연차보고서 발간</t>
  </si>
  <si>
    <t>사회보험
부담금</t>
  </si>
  <si>
    <t>비둘기직업적응훈련시설</t>
  </si>
  <si>
    <t>한빛장애인주간보호</t>
  </si>
  <si>
    <t>한국사회적기업진흥원</t>
  </si>
  <si>
    <t>긴급재난 직접지원비</t>
  </si>
  <si>
    <t>시설장비
유지비</t>
  </si>
  <si>
    <t>4) 과년도지출</t>
  </si>
  <si>
    <t>경동제약지정후원금</t>
  </si>
  <si>
    <t>대림절 저금통(개인)</t>
  </si>
  <si>
    <t>지정기탁지원사업</t>
  </si>
  <si>
    <t>경동제약 지정기탁사업</t>
  </si>
  <si>
    <t>사랑손직업적응훈련시설</t>
  </si>
  <si>
    <t>7) 시설전출금</t>
  </si>
  <si>
    <t>장학사업
지정후원금</t>
  </si>
  <si>
    <t>동화나라어린이집</t>
  </si>
  <si>
    <t>서초3단지어린이집</t>
  </si>
  <si>
    <t xml:space="preserve">동작노인복지관 </t>
  </si>
  <si>
    <t>예비비
및 기타</t>
  </si>
  <si>
    <t>사순절 저금통(개인)</t>
  </si>
  <si>
    <t>한마음한몸
지정후원금</t>
  </si>
  <si>
    <t>바오로교실작업장</t>
  </si>
  <si>
    <t>시설비</t>
  </si>
  <si>
    <t>직책</t>
  </si>
  <si>
    <t>재산</t>
  </si>
  <si>
    <t>원</t>
  </si>
  <si>
    <t>식</t>
  </si>
  <si>
    <t>조성비</t>
  </si>
  <si>
    <t>대</t>
  </si>
  <si>
    <t>수입</t>
  </si>
  <si>
    <t>차량비</t>
  </si>
  <si>
    <t>근속</t>
  </si>
  <si>
    <t>후원금</t>
  </si>
  <si>
    <t>/</t>
  </si>
  <si>
    <t>항</t>
  </si>
  <si>
    <t>회의비</t>
  </si>
  <si>
    <t>업무</t>
  </si>
  <si>
    <t>합계</t>
  </si>
  <si>
    <t>관</t>
  </si>
  <si>
    <t>회</t>
  </si>
  <si>
    <t>월</t>
  </si>
  <si>
    <t>×</t>
  </si>
  <si>
    <t>목</t>
  </si>
  <si>
    <t>=</t>
  </si>
  <si>
    <t>급식비</t>
  </si>
  <si>
    <t>사무비</t>
  </si>
  <si>
    <t>전입금</t>
  </si>
  <si>
    <t>수당</t>
  </si>
  <si>
    <t>소계</t>
  </si>
  <si>
    <t xml:space="preserve"> =</t>
  </si>
  <si>
    <t>전출금</t>
  </si>
  <si>
    <t>예비비</t>
  </si>
  <si>
    <t>지정</t>
  </si>
  <si>
    <t>잡지출</t>
  </si>
  <si>
    <t>x</t>
  </si>
  <si>
    <t>인건비</t>
  </si>
  <si>
    <t xml:space="preserve"> </t>
  </si>
  <si>
    <t>추진비</t>
  </si>
  <si>
    <t>기본</t>
  </si>
  <si>
    <t>비지정</t>
  </si>
  <si>
    <t>명</t>
  </si>
  <si>
    <t>CMS</t>
  </si>
  <si>
    <t>계</t>
  </si>
  <si>
    <t>급여</t>
  </si>
  <si>
    <t>금액</t>
  </si>
  <si>
    <t>반환금</t>
  </si>
  <si>
    <t>잡수입</t>
  </si>
  <si>
    <t xml:space="preserve">신규 </t>
  </si>
  <si>
    <t>이월금</t>
  </si>
  <si>
    <t>곳</t>
  </si>
  <si>
    <t>비율</t>
  </si>
  <si>
    <t>신규</t>
  </si>
  <si>
    <t>사업비</t>
  </si>
  <si>
    <t>토론회</t>
  </si>
  <si>
    <t>총계</t>
  </si>
  <si>
    <t>직무</t>
  </si>
  <si>
    <t>법정</t>
  </si>
  <si>
    <t>대부료</t>
  </si>
  <si>
    <t>운영비</t>
  </si>
  <si>
    <t>분기</t>
  </si>
  <si>
    <t>강사비</t>
  </si>
  <si>
    <t xml:space="preserve">  </t>
  </si>
  <si>
    <t>여비</t>
  </si>
  <si>
    <t>천원</t>
  </si>
  <si>
    <t>본봉</t>
  </si>
  <si>
    <t>저금통 홍보비(주보간지 대신 외부홍보 예정) 추가</t>
  </si>
  <si>
    <t>서울가톨릭사회복지회 2021년  세입·세출 예산</t>
  </si>
  <si>
    <t>홍보대사와 함께하는 장학회 모금 활동 제반 비용</t>
  </si>
  <si>
    <t>온라인 홍보컨텐츠 구입</t>
  </si>
  <si>
    <t>서울대교구성당지정후원금</t>
  </si>
  <si>
    <t>사회복지사목 시범본당 운영</t>
  </si>
  <si>
    <t>예다움보듬이나눔이어린이집</t>
  </si>
  <si>
    <t>요안나장학기금 이자수입</t>
  </si>
  <si>
    <t>특별수당(부활,휴가,성탄)</t>
  </si>
  <si>
    <t>비지정후원 차년도이월금</t>
  </si>
  <si>
    <t>본당 자원봉사 
관리및 운영</t>
  </si>
  <si>
    <t>선교200주년장학금 지정후원</t>
  </si>
  <si>
    <t>사무실 및 교육실 임차료</t>
  </si>
  <si>
    <t>성모영보장학사업 지정후원</t>
  </si>
  <si>
    <t>다과구입 등 기타회의비</t>
  </si>
  <si>
    <t>통신사 기지국 임대수입</t>
  </si>
  <si>
    <t>성모영보장학기금  이자수입</t>
  </si>
  <si>
    <t>교구구입 등 기타진행비</t>
  </si>
  <si>
    <t>자동차세 및 자동차보험료</t>
  </si>
  <si>
    <t>직영수탁시설방문 및 축하금</t>
  </si>
  <si>
    <t>보급형 영상 및 책자 제작</t>
  </si>
  <si>
    <t>희망의밥(바보 개인지정기탁)</t>
  </si>
  <si>
    <t>기타관리비(신청서 제작 등)</t>
  </si>
  <si>
    <t xml:space="preserve"> 특별과정(가톨릭에코연대)</t>
  </si>
  <si>
    <t>말가리다장학기금 이자수입</t>
  </si>
  <si>
    <t>미사 취소에 따른 예산 삭감</t>
  </si>
  <si>
    <t>2020년 법인세 환급</t>
  </si>
  <si>
    <t xml:space="preserve">본당사회복지자문위원회 </t>
  </si>
  <si>
    <t>기타재산수입 및 배당수입</t>
  </si>
  <si>
    <t>스즈끼씨엠씨지정기탁사업</t>
  </si>
  <si>
    <t>장애인고용장려금+시설전출금</t>
  </si>
  <si>
    <t>장애인주일 미사(취소)</t>
  </si>
  <si>
    <t>동자동 임대수입(4층)</t>
  </si>
  <si>
    <t>사업계획서, 보고서 발간</t>
  </si>
  <si>
    <t>기쁜우리월등소송관련비 지원</t>
  </si>
  <si>
    <t>사회복지회 사제 급여 지원금</t>
  </si>
  <si>
    <t>시설전출금+시설전출후원금</t>
  </si>
  <si>
    <t>성지주일(사순)2차헌금</t>
  </si>
  <si>
    <t xml:space="preserve">직영수탁시설 근조기운영 </t>
  </si>
  <si>
    <t>2021년3차
추경예산(B)</t>
  </si>
  <si>
    <t>사례컨퍼런스 및 사례집제작</t>
  </si>
  <si>
    <t>직원교육 및 연수(내외부)</t>
  </si>
  <si>
    <t>코로나로 공개컨퍼런스 취소</t>
  </si>
  <si>
    <t>자선주일(대림)2차헌금</t>
  </si>
  <si>
    <t>2021년2차
추경예산(A)</t>
  </si>
  <si>
    <t>사회적인식개선 영상제작</t>
  </si>
  <si>
    <t>시설전출금+장애인고용장려금</t>
  </si>
  <si>
    <t>온라인 모금 웹진 제작</t>
  </si>
  <si>
    <t>전자지급결제대행 수수료</t>
  </si>
  <si>
    <t>등기,평가, 중개수수료 등</t>
  </si>
  <si>
    <t xml:space="preserve"> - 점검단교육비및 평가회비</t>
  </si>
  <si>
    <t>한끼100원나누기 사업비</t>
  </si>
  <si>
    <t>장학금지급(1~12월)</t>
  </si>
  <si>
    <t>통합네트워크시스템 유지비</t>
  </si>
  <si>
    <t>요안나장학사업 지정후원</t>
  </si>
  <si>
    <t>본당사회복지 공모지원사업</t>
  </si>
  <si>
    <t>취약계층지원사업</t>
  </si>
  <si>
    <t>생명존중
문화만들기</t>
  </si>
  <si>
    <t>전기 · 전화요금</t>
  </si>
  <si>
    <t>취약계층 쌀 지원</t>
  </si>
  <si>
    <t>동절기노숙인야간순회</t>
  </si>
  <si>
    <t>너울자리공동생활</t>
  </si>
  <si>
    <t>마로니에공동생활</t>
  </si>
  <si>
    <t>취약계층 주거비 지원</t>
  </si>
  <si>
    <t>옥수동아파트 임대수입</t>
  </si>
  <si>
    <t>샛별지역아동센터</t>
  </si>
  <si>
    <t>헬렌켈러공동생활</t>
  </si>
  <si>
    <t>장학회 후원금 모금</t>
  </si>
  <si>
    <t xml:space="preserve">장애인의날행사 </t>
  </si>
  <si>
    <t xml:space="preserve"> - 특별업무점검비</t>
  </si>
  <si>
    <t>노숙인 야간순회</t>
  </si>
  <si>
    <t xml:space="preserve"> 카리타스정체성</t>
  </si>
  <si>
    <t>구리아파트 임대수입</t>
  </si>
  <si>
    <t>하늘자리공동생활</t>
  </si>
  <si>
    <t>홍보물 및 평가회의</t>
  </si>
  <si>
    <t>신청 인원 감소</t>
  </si>
  <si>
    <t>카리타스정체성과정</t>
  </si>
  <si>
    <t xml:space="preserve">
직영수탁
시설관리
</t>
  </si>
  <si>
    <t>가톨릭에코
연대사업</t>
  </si>
  <si>
    <t>시범본당 운영지원</t>
  </si>
  <si>
    <t>신청 인원 증가</t>
  </si>
  <si>
    <t>스즈끼씨엠씨 후원금</t>
  </si>
  <si>
    <t>모범본당 운영지원</t>
  </si>
  <si>
    <t>사례집 제작 및 배포</t>
  </si>
  <si>
    <t>시설본당 공동사업지원</t>
  </si>
  <si>
    <t>사업계획 및 평가</t>
  </si>
  <si>
    <t>한우리보호작업장</t>
  </si>
  <si>
    <t>회계감사및 세무조정료</t>
  </si>
  <si>
    <t>헬렌켈러공동생활2</t>
  </si>
  <si>
    <t>한끼100원모금</t>
  </si>
  <si>
    <t>비지정후원 예비비</t>
  </si>
  <si>
    <t>CS노인통합
사례관리</t>
  </si>
  <si>
    <t>사업수행본당 평가회</t>
  </si>
  <si>
    <t>사업설명회 및 심사</t>
  </si>
  <si>
    <t>한우리정보문화센터</t>
  </si>
  <si>
    <t>장학기금
이자수입</t>
  </si>
  <si>
    <t>양천데이케어센터</t>
  </si>
  <si>
    <t>사순절/대림절 모금</t>
  </si>
  <si>
    <t>소외계층 긴급지원</t>
  </si>
  <si>
    <t>지정후원 차년도이월금</t>
  </si>
  <si>
    <t>본당사회복지활동지원</t>
  </si>
  <si>
    <t>본당 사업 지원금</t>
  </si>
  <si>
    <t>양천어르신요양센터</t>
  </si>
  <si>
    <t>주교회의 지원금 반환</t>
  </si>
  <si>
    <t>직원 회의비 등</t>
  </si>
  <si>
    <t>지정기탁시설지원 등</t>
  </si>
  <si>
    <t>강일성모노인요양</t>
  </si>
  <si>
    <t>운영위원 회의비</t>
  </si>
  <si>
    <t>사무용  비품구입</t>
  </si>
  <si>
    <t>특별수당(설,추석)</t>
  </si>
  <si>
    <t>마고네지역아동센터</t>
  </si>
  <si>
    <t>화곡성모공동생활</t>
  </si>
  <si>
    <t xml:space="preserve">선종봉사부 반환금 </t>
  </si>
  <si>
    <t>사회적기업진흥원 사업</t>
  </si>
  <si>
    <t>취약계층 긴급지원사업</t>
  </si>
  <si>
    <t>꿈손단기보호시설</t>
  </si>
  <si>
    <t>2. 세입의 주요 재원은 다음과 같다.</t>
  </si>
  <si>
    <t>명일동성당지원금(성가정노인복지관지원)</t>
  </si>
  <si>
    <t>2021년 제3차 추가경정 예산 총칙</t>
  </si>
  <si>
    <t>이는 차기 추가경정예산에 반영해야 한다.</t>
  </si>
  <si>
    <t>시설전출금+장애인고용장려금+시설전출후원금</t>
  </si>
  <si>
    <t>회</t>
    <phoneticPr fontId="6" type="noConversion"/>
  </si>
  <si>
    <t>월</t>
    <phoneticPr fontId="6" type="noConversion"/>
  </si>
  <si>
    <t>사순대림 저금통(본당)</t>
    <phoneticPr fontId="6" type="noConversion"/>
  </si>
  <si>
    <t>성가정데이케어 폐업 잔액</t>
    <phoneticPr fontId="6" type="noConversion"/>
  </si>
  <si>
    <t>원</t>
    <phoneticPr fontId="6" type="noConversion"/>
  </si>
  <si>
    <t>사회복지법인 서울가톨릭사회복지회의  2021년 제3차 추가경정예산(안) 세입 · 세출액은 각각8,574,938천원이며</t>
    <phoneticPr fontId="6" type="noConversion"/>
  </si>
  <si>
    <t>2021년 제2차 추가경정예산 대비 2.2%  증가하였다.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</si>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</sst>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</numFmts>
  <fonts count="23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굴림체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68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Fill="1" applyBorder="1">
      <alignment vertical="center"/>
    </xf>
    <xf numFmtId="0" fontId="8" fillId="0" borderId="42" xfId="0" applyNumberFormat="1" applyFont="1" applyBorder="1" applyAlignment="1">
      <alignment horizontal="center" vertical="center"/>
    </xf>
    <xf numFmtId="41" fontId="8" fillId="0" borderId="3" xfId="2" applyNumberFormat="1" applyFont="1" applyBorder="1" applyAlignment="1">
      <alignment vertical="center"/>
    </xf>
    <xf numFmtId="41" fontId="8" fillId="0" borderId="39" xfId="2" applyNumberFormat="1" applyFont="1" applyFill="1" applyBorder="1" applyAlignment="1">
      <alignment vertical="center"/>
    </xf>
    <xf numFmtId="3" fontId="8" fillId="0" borderId="3" xfId="2" applyNumberFormat="1" applyFont="1" applyFill="1" applyBorder="1" applyAlignment="1">
      <alignment vertical="center"/>
    </xf>
    <xf numFmtId="180" fontId="8" fillId="0" borderId="3" xfId="2" applyNumberFormat="1" applyFont="1" applyBorder="1" applyAlignment="1">
      <alignment vertical="center"/>
    </xf>
    <xf numFmtId="41" fontId="7" fillId="0" borderId="37" xfId="0" applyNumberFormat="1" applyFont="1" applyBorder="1" applyAlignment="1">
      <alignment vertical="center"/>
    </xf>
    <xf numFmtId="0" fontId="7" fillId="0" borderId="38" xfId="0" applyNumberFormat="1" applyFont="1" applyBorder="1">
      <alignment vertical="center"/>
    </xf>
    <xf numFmtId="0" fontId="7" fillId="0" borderId="37" xfId="0" applyNumberFormat="1" applyFont="1" applyFill="1" applyBorder="1" applyAlignment="1">
      <alignment horizontal="left" vertical="center" shrinkToFit="1"/>
    </xf>
    <xf numFmtId="41" fontId="7" fillId="0" borderId="37" xfId="4" applyNumberFormat="1" applyFont="1" applyFill="1" applyBorder="1">
      <alignment vertical="center"/>
    </xf>
    <xf numFmtId="0" fontId="7" fillId="0" borderId="37" xfId="0" applyNumberFormat="1" applyFont="1" applyFill="1" applyBorder="1">
      <alignment vertical="center"/>
    </xf>
    <xf numFmtId="0" fontId="9" fillId="0" borderId="37" xfId="0" applyNumberFormat="1" applyFont="1" applyFill="1" applyBorder="1" applyAlignment="1">
      <alignment horizontal="center" vertical="center"/>
    </xf>
    <xf numFmtId="41" fontId="7" fillId="0" borderId="37" xfId="4" applyNumberFormat="1" applyFont="1" applyBorder="1">
      <alignment vertical="center"/>
    </xf>
    <xf numFmtId="0" fontId="7" fillId="0" borderId="0" xfId="0" applyNumberFormat="1" applyFont="1" applyFill="1" applyBorder="1" applyAlignment="1">
      <alignment horizontal="left" vertical="center" shrinkToFit="1"/>
    </xf>
    <xf numFmtId="41" fontId="7" fillId="0" borderId="0" xfId="4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quotePrefix="1" applyNumberFormat="1" applyFont="1" applyBorder="1" applyAlignment="1">
      <alignment horizontal="center" vertical="center"/>
    </xf>
    <xf numFmtId="41" fontId="7" fillId="0" borderId="0" xfId="4" applyNumberFormat="1" applyFont="1" applyBorder="1">
      <alignment vertical="center"/>
    </xf>
    <xf numFmtId="0" fontId="7" fillId="0" borderId="28" xfId="0" applyNumberFormat="1" applyFont="1" applyBorder="1">
      <alignment vertical="center"/>
    </xf>
    <xf numFmtId="0" fontId="7" fillId="0" borderId="29" xfId="0" applyNumberFormat="1" applyFont="1" applyFill="1" applyBorder="1" applyAlignment="1">
      <alignment horizontal="left" vertical="center" shrinkToFit="1"/>
    </xf>
    <xf numFmtId="0" fontId="7" fillId="0" borderId="37" xfId="0" applyNumberFormat="1" applyFont="1" applyBorder="1" applyAlignment="1">
      <alignment horizontal="left" vertical="center"/>
    </xf>
    <xf numFmtId="0" fontId="7" fillId="0" borderId="37" xfId="0" applyNumberFormat="1" applyFont="1" applyBorder="1">
      <alignment vertical="center"/>
    </xf>
    <xf numFmtId="0" fontId="9" fillId="0" borderId="37" xfId="0" applyNumberFormat="1" applyFont="1" applyBorder="1" applyAlignment="1">
      <alignment horizontal="center" vertical="center"/>
    </xf>
    <xf numFmtId="0" fontId="7" fillId="0" borderId="29" xfId="0" applyNumberFormat="1" applyFont="1" applyBorder="1" applyAlignment="1">
      <alignment horizontal="left" vertical="center"/>
    </xf>
    <xf numFmtId="41" fontId="7" fillId="0" borderId="29" xfId="4" applyNumberFormat="1" applyFont="1" applyBorder="1">
      <alignment vertical="center"/>
    </xf>
    <xf numFmtId="0" fontId="7" fillId="0" borderId="29" xfId="0" applyNumberFormat="1" applyFont="1" applyBorder="1">
      <alignment vertical="center"/>
    </xf>
    <xf numFmtId="0" fontId="9" fillId="0" borderId="29" xfId="0" applyNumberFormat="1" applyFont="1" applyBorder="1" applyAlignment="1">
      <alignment horizontal="center" vertical="center"/>
    </xf>
    <xf numFmtId="0" fontId="7" fillId="0" borderId="29" xfId="0" applyNumberFormat="1" applyFont="1" applyBorder="1" applyAlignment="1">
      <alignment horizontal="center" vertical="center"/>
    </xf>
    <xf numFmtId="0" fontId="7" fillId="0" borderId="29" xfId="0" quotePrefix="1" applyNumberFormat="1" applyFont="1" applyBorder="1" applyAlignment="1">
      <alignment horizontal="center" vertical="center"/>
    </xf>
    <xf numFmtId="0" fontId="7" fillId="0" borderId="20" xfId="0" applyNumberFormat="1" applyFont="1" applyBorder="1">
      <alignment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7" fillId="0" borderId="17" xfId="0" applyNumberFormat="1" applyFont="1" applyFill="1" applyBorder="1" applyAlignment="1">
      <alignment horizontal="left" vertical="center"/>
    </xf>
    <xf numFmtId="0" fontId="7" fillId="0" borderId="0" xfId="0" quotePrefix="1" applyNumberFormat="1" applyFont="1" applyFill="1" applyBorder="1" applyAlignment="1">
      <alignment horizontal="center" vertical="center"/>
    </xf>
    <xf numFmtId="0" fontId="7" fillId="0" borderId="28" xfId="0" applyNumberFormat="1" applyFont="1" applyFill="1" applyBorder="1">
      <alignment vertical="center"/>
    </xf>
    <xf numFmtId="41" fontId="7" fillId="0" borderId="37" xfId="0" applyNumberFormat="1" applyFont="1" applyFill="1" applyBorder="1">
      <alignment vertical="center"/>
    </xf>
    <xf numFmtId="0" fontId="7" fillId="0" borderId="38" xfId="0" applyNumberFormat="1" applyFont="1" applyFill="1" applyBorder="1">
      <alignment vertical="center"/>
    </xf>
    <xf numFmtId="0" fontId="7" fillId="0" borderId="9" xfId="0" applyNumberFormat="1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8" fillId="0" borderId="22" xfId="0" applyNumberFormat="1" applyFont="1" applyBorder="1" applyAlignment="1">
      <alignment horizontal="center" vertical="center"/>
    </xf>
    <xf numFmtId="41" fontId="8" fillId="0" borderId="36" xfId="2" applyNumberFormat="1" applyFont="1" applyFill="1" applyBorder="1" applyAlignment="1">
      <alignment horizontal="center" vertical="center"/>
    </xf>
    <xf numFmtId="41" fontId="8" fillId="0" borderId="35" xfId="2" applyNumberFormat="1" applyFont="1" applyFill="1" applyBorder="1" applyAlignment="1">
      <alignment horizontal="center" vertical="center"/>
    </xf>
    <xf numFmtId="180" fontId="8" fillId="0" borderId="10" xfId="2" applyNumberFormat="1" applyFont="1" applyBorder="1" applyAlignment="1">
      <alignment horizontal="right" vertical="center"/>
    </xf>
    <xf numFmtId="41" fontId="8" fillId="0" borderId="10" xfId="4" applyNumberFormat="1" applyFont="1" applyFill="1" applyBorder="1" applyAlignment="1">
      <alignment horizontal="center" vertical="center"/>
    </xf>
    <xf numFmtId="41" fontId="8" fillId="0" borderId="4" xfId="4" applyNumberFormat="1" applyFont="1" applyFill="1" applyBorder="1" applyAlignment="1">
      <alignment horizontal="center" vertical="center"/>
    </xf>
    <xf numFmtId="41" fontId="8" fillId="0" borderId="3" xfId="4" applyNumberFormat="1" applyFont="1" applyFill="1" applyBorder="1" applyAlignment="1">
      <alignment horizontal="center" vertical="center"/>
    </xf>
    <xf numFmtId="41" fontId="8" fillId="0" borderId="10" xfId="2" applyNumberFormat="1" applyFont="1" applyBorder="1" applyAlignment="1">
      <alignment horizontal="center" vertical="center"/>
    </xf>
    <xf numFmtId="41" fontId="8" fillId="0" borderId="4" xfId="2" applyNumberFormat="1" applyFont="1" applyBorder="1" applyAlignment="1">
      <alignment horizontal="center" vertical="center"/>
    </xf>
    <xf numFmtId="41" fontId="8" fillId="2" borderId="56" xfId="4" applyNumberFormat="1" applyFont="1" applyFill="1" applyBorder="1" applyAlignment="1">
      <alignment horizontal="center" vertical="center"/>
    </xf>
    <xf numFmtId="41" fontId="8" fillId="2" borderId="48" xfId="4" applyNumberFormat="1" applyFont="1" applyFill="1" applyBorder="1" applyAlignment="1">
      <alignment horizontal="center" vertical="center"/>
    </xf>
    <xf numFmtId="41" fontId="8" fillId="2" borderId="23" xfId="4" applyNumberFormat="1" applyFont="1" applyFill="1" applyBorder="1" applyAlignment="1">
      <alignment horizontal="center" vertical="center"/>
    </xf>
    <xf numFmtId="0" fontId="7" fillId="0" borderId="37" xfId="0" applyNumberFormat="1" applyFont="1" applyBorder="1" applyAlignment="1">
      <alignment horizontal="center" vertical="center"/>
    </xf>
    <xf numFmtId="178" fontId="8" fillId="0" borderId="56" xfId="4" applyNumberFormat="1" applyFont="1" applyBorder="1" applyAlignment="1">
      <alignment horizontal="right" vertical="center"/>
    </xf>
    <xf numFmtId="0" fontId="7" fillId="0" borderId="37" xfId="0" applyNumberFormat="1" applyFont="1" applyFill="1" applyBorder="1" applyAlignment="1">
      <alignment horizontal="center" vertical="center"/>
    </xf>
    <xf numFmtId="41" fontId="8" fillId="0" borderId="56" xfId="4" applyNumberFormat="1" applyFont="1" applyFill="1" applyBorder="1" applyAlignment="1">
      <alignment horizontal="center" vertical="center"/>
    </xf>
    <xf numFmtId="41" fontId="8" fillId="0" borderId="23" xfId="4" applyNumberFormat="1" applyFont="1" applyFill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178" fontId="8" fillId="0" borderId="23" xfId="4" applyNumberFormat="1" applyFont="1" applyBorder="1" applyAlignment="1">
      <alignment horizontal="right" vertical="center"/>
    </xf>
    <xf numFmtId="179" fontId="8" fillId="0" borderId="56" xfId="4" applyNumberFormat="1" applyFont="1" applyBorder="1" applyAlignment="1">
      <alignment vertical="center"/>
    </xf>
    <xf numFmtId="0" fontId="7" fillId="0" borderId="22" xfId="0" applyNumberFormat="1" applyFont="1" applyBorder="1" applyAlignment="1">
      <alignment horizontal="center" vertical="center"/>
    </xf>
    <xf numFmtId="41" fontId="8" fillId="2" borderId="62" xfId="4" applyNumberFormat="1" applyFont="1" applyFill="1" applyBorder="1" applyAlignment="1">
      <alignment horizontal="center" vertical="center"/>
    </xf>
    <xf numFmtId="41" fontId="3" fillId="0" borderId="0" xfId="2" applyNumberFormat="1" applyFont="1" applyBorder="1" applyAlignment="1">
      <alignment vertical="center"/>
    </xf>
    <xf numFmtId="41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3" fillId="0" borderId="0" xfId="2" applyNumberFormat="1" applyFont="1" applyBorder="1" applyAlignment="1">
      <alignment horizontal="left" vertical="center"/>
    </xf>
    <xf numFmtId="41" fontId="3" fillId="0" borderId="0" xfId="0" applyNumberFormat="1" applyFont="1" applyBorder="1" applyAlignment="1">
      <alignment horizontal="center" vertical="center"/>
    </xf>
    <xf numFmtId="41" fontId="3" fillId="0" borderId="0" xfId="2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80" fontId="8" fillId="0" borderId="10" xfId="2" applyNumberFormat="1" applyFont="1" applyBorder="1" applyAlignment="1">
      <alignment horizontal="right" vertical="center"/>
    </xf>
    <xf numFmtId="180" fontId="8" fillId="0" borderId="4" xfId="2" applyNumberFormat="1" applyFont="1" applyBorder="1" applyAlignment="1">
      <alignment horizontal="right" vertical="center"/>
    </xf>
    <xf numFmtId="41" fontId="8" fillId="0" borderId="10" xfId="4" applyNumberFormat="1" applyFont="1" applyFill="1" applyBorder="1" applyAlignment="1">
      <alignment horizontal="center" vertical="center"/>
    </xf>
    <xf numFmtId="41" fontId="8" fillId="0" borderId="4" xfId="4" applyNumberFormat="1" applyFont="1" applyFill="1" applyBorder="1" applyAlignment="1">
      <alignment horizontal="center" vertical="center"/>
    </xf>
    <xf numFmtId="41" fontId="8" fillId="0" borderId="3" xfId="4" applyNumberFormat="1" applyFont="1" applyFill="1" applyBorder="1" applyAlignment="1">
      <alignment horizontal="center" vertical="center"/>
    </xf>
    <xf numFmtId="41" fontId="8" fillId="0" borderId="10" xfId="2" applyNumberFormat="1" applyFont="1" applyBorder="1" applyAlignment="1">
      <alignment horizontal="center" vertical="center"/>
    </xf>
    <xf numFmtId="41" fontId="8" fillId="0" borderId="4" xfId="2" applyNumberFormat="1" applyFont="1" applyBorder="1" applyAlignment="1">
      <alignment horizontal="center" vertical="center"/>
    </xf>
    <xf numFmtId="41" fontId="7" fillId="0" borderId="37" xfId="0" applyNumberFormat="1" applyFont="1" applyBorder="1" applyAlignment="1">
      <alignment horizontal="center" vertical="center"/>
    </xf>
    <xf numFmtId="41" fontId="8" fillId="0" borderId="36" xfId="2" applyNumberFormat="1" applyFont="1" applyFill="1" applyBorder="1" applyAlignment="1">
      <alignment horizontal="center" vertical="center"/>
    </xf>
    <xf numFmtId="41" fontId="8" fillId="0" borderId="35" xfId="2" applyNumberFormat="1" applyFont="1" applyFill="1" applyBorder="1" applyAlignment="1">
      <alignment horizontal="center" vertical="center"/>
    </xf>
    <xf numFmtId="3" fontId="8" fillId="0" borderId="10" xfId="2" applyNumberFormat="1" applyFont="1" applyFill="1" applyBorder="1" applyAlignment="1">
      <alignment horizontal="right" vertical="center"/>
    </xf>
    <xf numFmtId="3" fontId="8" fillId="0" borderId="4" xfId="2" applyNumberFormat="1" applyFont="1" applyFill="1" applyBorder="1" applyAlignment="1">
      <alignment horizontal="right" vertical="center"/>
    </xf>
    <xf numFmtId="0" fontId="8" fillId="0" borderId="24" xfId="0" applyNumberFormat="1" applyFont="1" applyBorder="1" applyAlignment="1">
      <alignment horizontal="center" vertical="center"/>
    </xf>
    <xf numFmtId="0" fontId="8" fillId="0" borderId="22" xfId="0" applyNumberFormat="1" applyFont="1" applyBorder="1" applyAlignment="1">
      <alignment horizontal="center" vertical="center"/>
    </xf>
    <xf numFmtId="41" fontId="8" fillId="2" borderId="62" xfId="4" applyNumberFormat="1" applyFont="1" applyFill="1" applyBorder="1" applyAlignment="1">
      <alignment horizontal="center" vertical="center"/>
    </xf>
    <xf numFmtId="41" fontId="8" fillId="0" borderId="62" xfId="4" applyNumberFormat="1" applyFont="1" applyFill="1" applyBorder="1" applyAlignment="1">
      <alignment horizontal="center" vertical="center"/>
    </xf>
    <xf numFmtId="41" fontId="8" fillId="0" borderId="56" xfId="4" applyNumberFormat="1" applyFont="1" applyFill="1" applyBorder="1" applyAlignment="1">
      <alignment horizontal="center" vertical="center"/>
    </xf>
    <xf numFmtId="41" fontId="8" fillId="0" borderId="23" xfId="4" applyNumberFormat="1" applyFont="1" applyFill="1" applyBorder="1" applyAlignment="1">
      <alignment horizontal="center" vertical="center"/>
    </xf>
    <xf numFmtId="41" fontId="8" fillId="0" borderId="56" xfId="4" applyNumberFormat="1" applyFont="1" applyBorder="1" applyAlignment="1">
      <alignment horizontal="center" vertical="center"/>
    </xf>
    <xf numFmtId="41" fontId="8" fillId="0" borderId="23" xfId="4" applyNumberFormat="1" applyFont="1" applyBorder="1" applyAlignment="1">
      <alignment horizontal="center" vertical="center"/>
    </xf>
    <xf numFmtId="41" fontId="8" fillId="0" borderId="62" xfId="4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41" fontId="8" fillId="0" borderId="48" xfId="4" applyNumberFormat="1" applyFont="1" applyBorder="1" applyAlignment="1">
      <alignment horizontal="center" vertical="center"/>
    </xf>
    <xf numFmtId="178" fontId="8" fillId="0" borderId="56" xfId="4" applyNumberFormat="1" applyFont="1" applyBorder="1" applyAlignment="1">
      <alignment horizontal="right" vertical="center"/>
    </xf>
    <xf numFmtId="178" fontId="8" fillId="0" borderId="23" xfId="4" applyNumberFormat="1" applyFont="1" applyBorder="1" applyAlignment="1">
      <alignment horizontal="right" vertical="center"/>
    </xf>
    <xf numFmtId="178" fontId="8" fillId="0" borderId="62" xfId="4" applyNumberFormat="1" applyFont="1" applyBorder="1" applyAlignment="1">
      <alignment horizontal="right" vertical="center"/>
    </xf>
    <xf numFmtId="179" fontId="8" fillId="0" borderId="56" xfId="4" applyNumberFormat="1" applyFont="1" applyBorder="1" applyAlignment="1">
      <alignment vertical="center"/>
    </xf>
    <xf numFmtId="179" fontId="8" fillId="0" borderId="23" xfId="4" applyNumberFormat="1" applyFont="1" applyBorder="1" applyAlignment="1">
      <alignment vertical="center"/>
    </xf>
    <xf numFmtId="179" fontId="8" fillId="0" borderId="48" xfId="4" applyNumberFormat="1" applyFont="1" applyBorder="1" applyAlignment="1">
      <alignment vertical="center"/>
    </xf>
    <xf numFmtId="0" fontId="7" fillId="0" borderId="37" xfId="0" applyNumberFormat="1" applyFont="1" applyBorder="1" applyAlignment="1">
      <alignment horizontal="center" vertical="center"/>
    </xf>
    <xf numFmtId="178" fontId="8" fillId="0" borderId="48" xfId="4" applyNumberFormat="1" applyFont="1" applyBorder="1" applyAlignment="1">
      <alignment horizontal="right" vertical="center"/>
    </xf>
    <xf numFmtId="0" fontId="7" fillId="0" borderId="37" xfId="0" applyNumberFormat="1" applyFont="1" applyFill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 wrapText="1"/>
    </xf>
    <xf numFmtId="0" fontId="7" fillId="0" borderId="26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7" fillId="0" borderId="42" xfId="0" applyNumberFormat="1" applyFont="1" applyBorder="1" applyAlignment="1">
      <alignment horizontal="center" vertical="center"/>
    </xf>
    <xf numFmtId="41" fontId="8" fillId="0" borderId="48" xfId="4" applyNumberFormat="1" applyFont="1" applyFill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41" fontId="8" fillId="2" borderId="56" xfId="4" applyNumberFormat="1" applyFont="1" applyFill="1" applyBorder="1" applyAlignment="1">
      <alignment horizontal="center" vertical="center"/>
    </xf>
    <xf numFmtId="41" fontId="8" fillId="2" borderId="48" xfId="4" applyNumberFormat="1" applyFont="1" applyFill="1" applyBorder="1" applyAlignment="1">
      <alignment horizontal="center" vertical="center"/>
    </xf>
    <xf numFmtId="41" fontId="8" fillId="2" borderId="23" xfId="4" applyNumberFormat="1" applyFont="1" applyFill="1" applyBorder="1" applyAlignment="1">
      <alignment horizontal="center" vertical="center"/>
    </xf>
    <xf numFmtId="179" fontId="8" fillId="0" borderId="56" xfId="4" applyNumberFormat="1" applyFont="1" applyBorder="1" applyAlignment="1">
      <alignment horizontal="right" vertical="center"/>
    </xf>
    <xf numFmtId="179" fontId="8" fillId="0" borderId="48" xfId="4" applyNumberFormat="1" applyFont="1" applyBorder="1" applyAlignment="1">
      <alignment horizontal="right" vertical="center"/>
    </xf>
    <xf numFmtId="0" fontId="12" fillId="0" borderId="0" xfId="0" applyNumberFormat="1" applyFont="1" applyBorder="1" applyAlignment="1">
      <alignment horizontal="center" vertical="center"/>
    </xf>
    <xf numFmtId="0" fontId="8" fillId="0" borderId="0" xfId="0" applyNumberFormat="1" applyFont="1">
      <alignment vertical="center"/>
    </xf>
    <xf numFmtId="41" fontId="8" fillId="0" borderId="0" xfId="2" applyNumberFormat="1" applyFont="1">
      <alignment vertical="center"/>
    </xf>
    <xf numFmtId="0" fontId="12" fillId="0" borderId="0" xfId="0" applyNumberFormat="1" applyFont="1" applyBorder="1" applyAlignment="1">
      <alignment horizontal="center" vertical="center"/>
    </xf>
    <xf numFmtId="0" fontId="13" fillId="0" borderId="6" xfId="0" applyNumberFormat="1" applyFont="1" applyBorder="1" applyAlignment="1">
      <alignment horizontal="left" vertical="center"/>
    </xf>
    <xf numFmtId="0" fontId="14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3" fontId="14" fillId="0" borderId="0" xfId="2" applyNumberFormat="1" applyFont="1" applyFill="1" applyBorder="1" applyAlignment="1">
      <alignment horizontal="right" vertical="center"/>
    </xf>
    <xf numFmtId="180" fontId="14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right" vertical="center"/>
    </xf>
    <xf numFmtId="0" fontId="15" fillId="0" borderId="27" xfId="0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5" fillId="0" borderId="73" xfId="0" applyNumberFormat="1" applyFont="1" applyBorder="1" applyAlignment="1">
      <alignment horizontal="center" vertical="center"/>
    </xf>
    <xf numFmtId="41" fontId="15" fillId="0" borderId="1" xfId="2" applyNumberFormat="1" applyFont="1" applyBorder="1" applyAlignment="1">
      <alignment horizontal="center" vertical="center" wrapText="1"/>
    </xf>
    <xf numFmtId="41" fontId="15" fillId="0" borderId="71" xfId="4" applyNumberFormat="1" applyFont="1" applyFill="1" applyBorder="1" applyAlignment="1">
      <alignment horizontal="center" vertical="center" wrapText="1"/>
    </xf>
    <xf numFmtId="41" fontId="15" fillId="0" borderId="13" xfId="2" applyNumberFormat="1" applyFont="1" applyBorder="1" applyAlignment="1">
      <alignment horizontal="center" vertical="center"/>
    </xf>
    <xf numFmtId="0" fontId="15" fillId="0" borderId="71" xfId="0" applyNumberFormat="1" applyFont="1" applyBorder="1" applyAlignment="1">
      <alignment horizontal="center" vertical="center"/>
    </xf>
    <xf numFmtId="0" fontId="15" fillId="0" borderId="69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5" fillId="0" borderId="14" xfId="0" applyNumberFormat="1" applyFont="1" applyBorder="1" applyAlignment="1">
      <alignment horizontal="center" vertical="center"/>
    </xf>
    <xf numFmtId="0" fontId="15" fillId="0" borderId="44" xfId="0" applyNumberFormat="1" applyFont="1" applyBorder="1" applyAlignment="1">
      <alignment horizontal="center" vertical="center"/>
    </xf>
    <xf numFmtId="41" fontId="15" fillId="0" borderId="14" xfId="2" applyNumberFormat="1" applyFont="1" applyBorder="1" applyAlignment="1">
      <alignment horizontal="center" vertical="center" wrapText="1"/>
    </xf>
    <xf numFmtId="41" fontId="15" fillId="0" borderId="72" xfId="4" applyNumberFormat="1" applyFont="1" applyFill="1" applyBorder="1" applyAlignment="1">
      <alignment horizontal="center" vertical="center" wrapText="1"/>
    </xf>
    <xf numFmtId="3" fontId="15" fillId="0" borderId="5" xfId="2" applyNumberFormat="1" applyFont="1" applyFill="1" applyBorder="1" applyAlignment="1">
      <alignment horizontal="center" vertical="center"/>
    </xf>
    <xf numFmtId="180" fontId="15" fillId="0" borderId="5" xfId="2" applyNumberFormat="1" applyFont="1" applyBorder="1" applyAlignment="1">
      <alignment horizontal="center" vertical="center"/>
    </xf>
    <xf numFmtId="0" fontId="15" fillId="0" borderId="72" xfId="0" applyNumberFormat="1" applyFont="1" applyBorder="1" applyAlignment="1">
      <alignment horizontal="center" vertical="center"/>
    </xf>
    <xf numFmtId="0" fontId="15" fillId="0" borderId="67" xfId="0" applyNumberFormat="1" applyFont="1" applyBorder="1" applyAlignment="1">
      <alignment horizontal="center" vertical="center"/>
    </xf>
    <xf numFmtId="0" fontId="15" fillId="0" borderId="46" xfId="0" applyNumberFormat="1" applyFont="1" applyBorder="1" applyAlignment="1">
      <alignment horizontal="center" vertical="center"/>
    </xf>
    <xf numFmtId="0" fontId="15" fillId="0" borderId="31" xfId="0" applyNumberFormat="1" applyFont="1" applyBorder="1" applyAlignment="1">
      <alignment horizontal="center" vertical="center"/>
    </xf>
    <xf numFmtId="0" fontId="15" fillId="0" borderId="68" xfId="0" applyNumberFormat="1" applyFont="1" applyBorder="1" applyAlignment="1">
      <alignment horizontal="center" vertical="center"/>
    </xf>
    <xf numFmtId="41" fontId="15" fillId="0" borderId="31" xfId="2" applyNumberFormat="1" applyFont="1" applyBorder="1" applyAlignment="1">
      <alignment horizontal="center" vertical="center"/>
    </xf>
    <xf numFmtId="41" fontId="15" fillId="0" borderId="32" xfId="4" applyNumberFormat="1" applyFont="1" applyFill="1" applyBorder="1" applyAlignment="1">
      <alignment horizontal="center" vertical="center"/>
    </xf>
    <xf numFmtId="3" fontId="15" fillId="0" borderId="31" xfId="2" applyNumberFormat="1" applyFont="1" applyFill="1" applyBorder="1" applyAlignment="1">
      <alignment horizontal="right" vertical="center"/>
    </xf>
    <xf numFmtId="180" fontId="15" fillId="0" borderId="31" xfId="2" applyNumberFormat="1" applyFont="1" applyBorder="1" applyAlignment="1">
      <alignment horizontal="right" vertical="center"/>
    </xf>
    <xf numFmtId="0" fontId="10" fillId="0" borderId="33" xfId="0" applyNumberFormat="1" applyFont="1" applyBorder="1">
      <alignment vertical="center"/>
    </xf>
    <xf numFmtId="0" fontId="10" fillId="0" borderId="33" xfId="0" applyNumberFormat="1" applyFont="1" applyBorder="1" applyAlignment="1">
      <alignment horizontal="center" vertical="center"/>
    </xf>
    <xf numFmtId="41" fontId="16" fillId="0" borderId="33" xfId="0" applyNumberFormat="1" applyFont="1" applyBorder="1">
      <alignment vertical="center"/>
    </xf>
    <xf numFmtId="0" fontId="16" fillId="0" borderId="34" xfId="0" applyNumberFormat="1" applyFont="1" applyBorder="1">
      <alignment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4" xfId="0" applyNumberFormat="1" applyFont="1" applyBorder="1" applyAlignment="1">
      <alignment horizontal="center" vertical="center"/>
    </xf>
    <xf numFmtId="0" fontId="17" fillId="0" borderId="22" xfId="0" applyNumberFormat="1" applyFont="1" applyBorder="1" applyAlignment="1">
      <alignment horizontal="center" vertical="center"/>
    </xf>
    <xf numFmtId="41" fontId="17" fillId="0" borderId="4" xfId="2" applyNumberFormat="1" applyFont="1" applyBorder="1" applyAlignment="1">
      <alignment horizontal="center" vertical="center"/>
    </xf>
    <xf numFmtId="41" fontId="17" fillId="0" borderId="35" xfId="2" applyNumberFormat="1" applyFont="1" applyFill="1" applyBorder="1" applyAlignment="1">
      <alignment horizontal="center" vertical="center"/>
    </xf>
    <xf numFmtId="41" fontId="17" fillId="0" borderId="35" xfId="4" applyNumberFormat="1" applyFont="1" applyFill="1" applyBorder="1" applyAlignment="1">
      <alignment horizontal="center" vertical="center"/>
    </xf>
    <xf numFmtId="3" fontId="17" fillId="0" borderId="18" xfId="2" applyNumberFormat="1" applyFont="1" applyFill="1" applyBorder="1" applyAlignment="1">
      <alignment horizontal="right" vertical="center"/>
    </xf>
    <xf numFmtId="180" fontId="17" fillId="0" borderId="18" xfId="2" applyNumberFormat="1" applyFont="1" applyBorder="1" applyAlignment="1">
      <alignment horizontal="right" vertical="center"/>
    </xf>
    <xf numFmtId="0" fontId="10" fillId="0" borderId="0" xfId="0" applyNumberFormat="1" applyFont="1" applyBorder="1">
      <alignment vertical="center"/>
    </xf>
    <xf numFmtId="0" fontId="10" fillId="0" borderId="0" xfId="0" applyNumberFormat="1" applyFont="1" applyBorder="1" applyAlignment="1">
      <alignment horizontal="center" vertical="center"/>
    </xf>
    <xf numFmtId="41" fontId="16" fillId="0" borderId="0" xfId="0" applyNumberFormat="1" applyFont="1" applyBorder="1">
      <alignment vertical="center"/>
    </xf>
    <xf numFmtId="0" fontId="16" fillId="0" borderId="28" xfId="0" applyNumberFormat="1" applyFont="1" applyBorder="1">
      <alignment vertical="center"/>
    </xf>
    <xf numFmtId="0" fontId="7" fillId="0" borderId="0" xfId="0" applyNumberFormat="1" applyFont="1">
      <alignment vertical="center"/>
    </xf>
    <xf numFmtId="41" fontId="7" fillId="0" borderId="0" xfId="2" applyNumberFormat="1" applyFont="1">
      <alignment vertical="center"/>
    </xf>
    <xf numFmtId="0" fontId="17" fillId="0" borderId="10" xfId="0" applyNumberFormat="1" applyFont="1" applyBorder="1" applyAlignment="1">
      <alignment horizontal="center" vertical="center" shrinkToFit="1"/>
    </xf>
    <xf numFmtId="41" fontId="18" fillId="0" borderId="36" xfId="4" applyNumberFormat="1" applyFont="1" applyFill="1" applyBorder="1" applyAlignment="1">
      <alignment horizontal="center" vertical="center"/>
    </xf>
    <xf numFmtId="3" fontId="8" fillId="0" borderId="9" xfId="2" applyNumberFormat="1" applyFont="1" applyFill="1" applyBorder="1" applyAlignment="1">
      <alignment horizontal="right" vertical="center"/>
    </xf>
    <xf numFmtId="180" fontId="8" fillId="0" borderId="9" xfId="2" applyNumberFormat="1" applyFont="1" applyBorder="1" applyAlignment="1">
      <alignment horizontal="right" vertical="center"/>
    </xf>
    <xf numFmtId="0" fontId="10" fillId="0" borderId="37" xfId="0" applyNumberFormat="1" applyFont="1" applyBorder="1">
      <alignment vertical="center"/>
    </xf>
    <xf numFmtId="0" fontId="10" fillId="0" borderId="37" xfId="0" applyNumberFormat="1" applyFont="1" applyBorder="1" applyAlignment="1">
      <alignment horizontal="center" vertical="center"/>
    </xf>
    <xf numFmtId="41" fontId="7" fillId="0" borderId="37" xfId="0" applyNumberFormat="1" applyFont="1" applyBorder="1">
      <alignment vertical="center"/>
    </xf>
    <xf numFmtId="0" fontId="8" fillId="0" borderId="2" xfId="0" applyNumberFormat="1" applyFont="1" applyBorder="1" applyAlignment="1">
      <alignment horizontal="center" vertical="center"/>
    </xf>
    <xf numFmtId="0" fontId="17" fillId="0" borderId="4" xfId="0" applyNumberFormat="1" applyFont="1" applyBorder="1" applyAlignment="1">
      <alignment horizontal="center" vertical="center" shrinkToFit="1"/>
    </xf>
    <xf numFmtId="41" fontId="8" fillId="0" borderId="36" xfId="4" applyNumberFormat="1" applyFont="1" applyFill="1" applyBorder="1" applyAlignment="1">
      <alignment horizontal="center" vertical="center"/>
    </xf>
    <xf numFmtId="178" fontId="8" fillId="0" borderId="10" xfId="2" applyNumberFormat="1" applyFont="1" applyFill="1" applyBorder="1" applyAlignment="1">
      <alignment horizontal="right" vertical="center"/>
    </xf>
    <xf numFmtId="179" fontId="8" fillId="0" borderId="10" xfId="0" applyNumberFormat="1" applyFont="1" applyBorder="1" applyAlignment="1">
      <alignment horizontal="right" vertical="center"/>
    </xf>
    <xf numFmtId="0" fontId="7" fillId="0" borderId="24" xfId="0" applyNumberFormat="1" applyFont="1" applyBorder="1" applyAlignment="1">
      <alignment horizontal="left" vertical="center"/>
    </xf>
    <xf numFmtId="41" fontId="7" fillId="0" borderId="37" xfId="2" applyNumberFormat="1" applyFont="1" applyBorder="1">
      <alignment vertical="center"/>
    </xf>
    <xf numFmtId="0" fontId="8" fillId="0" borderId="4" xfId="0" applyNumberFormat="1" applyFont="1" applyBorder="1" applyAlignment="1">
      <alignment horizontal="center" vertical="center"/>
    </xf>
    <xf numFmtId="41" fontId="8" fillId="0" borderId="35" xfId="4" applyNumberFormat="1" applyFont="1" applyFill="1" applyBorder="1" applyAlignment="1">
      <alignment horizontal="center" vertical="center"/>
    </xf>
    <xf numFmtId="178" fontId="8" fillId="0" borderId="4" xfId="2" applyNumberFormat="1" applyFont="1" applyFill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0" fontId="7" fillId="0" borderId="22" xfId="0" applyNumberFormat="1" applyFont="1" applyBorder="1" applyAlignment="1">
      <alignment horizontal="left" vertical="center" shrinkToFit="1"/>
    </xf>
    <xf numFmtId="41" fontId="7" fillId="0" borderId="0" xfId="4" applyNumberFormat="1" applyFont="1" applyBorder="1" applyAlignment="1">
      <alignment vertical="center"/>
    </xf>
    <xf numFmtId="41" fontId="8" fillId="0" borderId="39" xfId="4" applyNumberFormat="1" applyFont="1" applyFill="1" applyBorder="1" applyAlignment="1">
      <alignment horizontal="center" vertical="center"/>
    </xf>
    <xf numFmtId="0" fontId="7" fillId="0" borderId="22" xfId="0" applyNumberFormat="1" applyFont="1" applyBorder="1" applyAlignment="1">
      <alignment horizontal="left" vertical="center"/>
    </xf>
    <xf numFmtId="0" fontId="8" fillId="0" borderId="42" xfId="0" applyNumberFormat="1" applyFont="1" applyBorder="1" applyAlignment="1">
      <alignment horizontal="center" vertical="center"/>
    </xf>
    <xf numFmtId="41" fontId="8" fillId="0" borderId="3" xfId="2" applyNumberFormat="1" applyFont="1" applyBorder="1" applyAlignment="1">
      <alignment horizontal="center" vertical="center"/>
    </xf>
    <xf numFmtId="41" fontId="8" fillId="0" borderId="39" xfId="2" applyNumberFormat="1" applyFont="1" applyFill="1" applyBorder="1" applyAlignment="1">
      <alignment horizontal="center" vertical="center"/>
    </xf>
    <xf numFmtId="178" fontId="8" fillId="0" borderId="3" xfId="2" applyNumberFormat="1" applyFont="1" applyFill="1" applyBorder="1" applyAlignment="1">
      <alignment horizontal="right" vertical="center"/>
    </xf>
    <xf numFmtId="179" fontId="8" fillId="0" borderId="3" xfId="0" applyNumberFormat="1" applyFont="1" applyBorder="1" applyAlignment="1">
      <alignment horizontal="right" vertical="center"/>
    </xf>
    <xf numFmtId="41" fontId="7" fillId="0" borderId="29" xfId="2" applyNumberFormat="1" applyFont="1" applyBorder="1">
      <alignment vertical="center"/>
    </xf>
    <xf numFmtId="0" fontId="8" fillId="0" borderId="24" xfId="0" applyNumberFormat="1" applyFont="1" applyBorder="1" applyAlignment="1">
      <alignment horizontal="center" vertical="center" wrapText="1"/>
    </xf>
    <xf numFmtId="0" fontId="8" fillId="0" borderId="22" xfId="0" applyNumberFormat="1" applyFont="1" applyBorder="1" applyAlignment="1">
      <alignment horizontal="center" vertical="center" wrapText="1"/>
    </xf>
    <xf numFmtId="41" fontId="7" fillId="0" borderId="0" xfId="2" applyNumberFormat="1" applyFont="1" applyBorder="1">
      <alignment vertical="center"/>
    </xf>
    <xf numFmtId="0" fontId="17" fillId="0" borderId="11" xfId="0" applyNumberFormat="1" applyFont="1" applyBorder="1" applyAlignment="1">
      <alignment horizontal="center" vertical="center" shrinkToFit="1"/>
    </xf>
    <xf numFmtId="0" fontId="17" fillId="0" borderId="9" xfId="0" applyNumberFormat="1" applyFont="1" applyBorder="1" applyAlignment="1">
      <alignment horizontal="center" vertical="center"/>
    </xf>
    <xf numFmtId="0" fontId="17" fillId="0" borderId="8" xfId="0" applyNumberFormat="1" applyFont="1" applyBorder="1" applyAlignment="1">
      <alignment horizontal="center" vertical="center"/>
    </xf>
    <xf numFmtId="41" fontId="17" fillId="0" borderId="9" xfId="2" applyNumberFormat="1" applyFont="1" applyBorder="1" applyAlignment="1">
      <alignment horizontal="center" vertical="center"/>
    </xf>
    <xf numFmtId="41" fontId="17" fillId="0" borderId="40" xfId="2" applyNumberFormat="1" applyFont="1" applyFill="1" applyBorder="1" applyAlignment="1">
      <alignment horizontal="center" vertical="center"/>
    </xf>
    <xf numFmtId="41" fontId="17" fillId="0" borderId="9" xfId="4" applyNumberFormat="1" applyFont="1" applyFill="1" applyBorder="1" applyAlignment="1">
      <alignment horizontal="center" vertical="center"/>
    </xf>
    <xf numFmtId="3" fontId="17" fillId="0" borderId="9" xfId="2" applyNumberFormat="1" applyFont="1" applyFill="1" applyBorder="1" applyAlignment="1">
      <alignment horizontal="right" vertical="center"/>
    </xf>
    <xf numFmtId="180" fontId="17" fillId="0" borderId="9" xfId="2" applyNumberFormat="1" applyFont="1" applyBorder="1" applyAlignment="1">
      <alignment horizontal="right" vertical="center"/>
    </xf>
    <xf numFmtId="0" fontId="7" fillId="0" borderId="41" xfId="0" applyNumberFormat="1" applyFont="1" applyBorder="1">
      <alignment vertical="center"/>
    </xf>
    <xf numFmtId="0" fontId="7" fillId="0" borderId="41" xfId="0" applyNumberFormat="1" applyFont="1" applyBorder="1" applyAlignment="1">
      <alignment horizontal="center" vertical="center"/>
    </xf>
    <xf numFmtId="41" fontId="16" fillId="0" borderId="41" xfId="0" applyNumberFormat="1" applyFont="1" applyBorder="1">
      <alignment vertical="center"/>
    </xf>
    <xf numFmtId="0" fontId="16" fillId="0" borderId="25" xfId="0" applyNumberFormat="1" applyFont="1" applyBorder="1">
      <alignment vertical="center"/>
    </xf>
    <xf numFmtId="41" fontId="8" fillId="0" borderId="39" xfId="2" applyNumberFormat="1" applyFont="1" applyBorder="1" applyAlignment="1">
      <alignment horizontal="center" vertical="center"/>
    </xf>
    <xf numFmtId="41" fontId="18" fillId="0" borderId="3" xfId="4" applyNumberFormat="1" applyFont="1" applyFill="1" applyBorder="1" applyAlignment="1">
      <alignment horizontal="center" vertical="center"/>
    </xf>
    <xf numFmtId="3" fontId="8" fillId="0" borderId="3" xfId="2" applyNumberFormat="1" applyFont="1" applyFill="1" applyBorder="1" applyAlignment="1">
      <alignment horizontal="right" vertical="center"/>
    </xf>
    <xf numFmtId="41" fontId="7" fillId="0" borderId="0" xfId="0" applyNumberFormat="1" applyFont="1" applyBorder="1">
      <alignment vertical="center"/>
    </xf>
    <xf numFmtId="0" fontId="16" fillId="0" borderId="24" xfId="0" applyNumberFormat="1" applyFont="1" applyBorder="1" applyAlignment="1">
      <alignment horizontal="center" vertical="center"/>
    </xf>
    <xf numFmtId="0" fontId="16" fillId="0" borderId="37" xfId="0" applyNumberFormat="1" applyFont="1" applyBorder="1" applyAlignment="1">
      <alignment horizontal="center" vertical="center"/>
    </xf>
    <xf numFmtId="0" fontId="7" fillId="0" borderId="22" xfId="0" applyNumberFormat="1" applyFont="1" applyFill="1" applyBorder="1" applyAlignment="1">
      <alignment horizontal="left" vertical="center" shrinkToFit="1"/>
    </xf>
    <xf numFmtId="0" fontId="17" fillId="0" borderId="16" xfId="0" applyNumberFormat="1" applyFont="1" applyBorder="1" applyAlignment="1">
      <alignment horizontal="center" vertical="center"/>
    </xf>
    <xf numFmtId="0" fontId="17" fillId="0" borderId="3" xfId="0" applyNumberFormat="1" applyFont="1" applyBorder="1" applyAlignment="1">
      <alignment horizontal="center" vertical="center"/>
    </xf>
    <xf numFmtId="0" fontId="7" fillId="0" borderId="42" xfId="0" applyNumberFormat="1" applyFont="1" applyFill="1" applyBorder="1" applyAlignment="1">
      <alignment horizontal="left" vertical="center" shrinkToFit="1"/>
    </xf>
    <xf numFmtId="41" fontId="7" fillId="0" borderId="29" xfId="4" applyNumberFormat="1" applyFont="1" applyFill="1" applyBorder="1">
      <alignment vertical="center"/>
    </xf>
    <xf numFmtId="0" fontId="7" fillId="0" borderId="29" xfId="0" applyNumberFormat="1" applyFont="1" applyFill="1" applyBorder="1" applyAlignment="1">
      <alignment horizontal="center" vertical="center"/>
    </xf>
    <xf numFmtId="0" fontId="9" fillId="0" borderId="29" xfId="0" applyNumberFormat="1" applyFont="1" applyFill="1" applyBorder="1" applyAlignment="1">
      <alignment horizontal="center" vertical="center"/>
    </xf>
    <xf numFmtId="0" fontId="7" fillId="0" borderId="29" xfId="0" quotePrefix="1" applyNumberFormat="1" applyFont="1" applyFill="1" applyBorder="1" applyAlignment="1">
      <alignment horizontal="center" vertical="center"/>
    </xf>
    <xf numFmtId="0" fontId="7" fillId="0" borderId="20" xfId="0" applyNumberFormat="1" applyFont="1" applyFill="1" applyBorder="1">
      <alignment vertical="center"/>
    </xf>
    <xf numFmtId="41" fontId="17" fillId="0" borderId="40" xfId="4" applyNumberFormat="1" applyFont="1" applyFill="1" applyBorder="1" applyAlignment="1">
      <alignment horizontal="center" vertical="center"/>
    </xf>
    <xf numFmtId="0" fontId="16" fillId="0" borderId="41" xfId="0" applyNumberFormat="1" applyFont="1" applyBorder="1">
      <alignment vertical="center"/>
    </xf>
    <xf numFmtId="0" fontId="16" fillId="0" borderId="41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41" fontId="8" fillId="0" borderId="9" xfId="2" applyNumberFormat="1" applyFont="1" applyBorder="1" applyAlignment="1">
      <alignment horizontal="center" vertical="center"/>
    </xf>
    <xf numFmtId="41" fontId="8" fillId="0" borderId="40" xfId="2" applyNumberFormat="1" applyFont="1" applyFill="1" applyBorder="1" applyAlignment="1">
      <alignment horizontal="center" vertical="center"/>
    </xf>
    <xf numFmtId="41" fontId="18" fillId="0" borderId="40" xfId="4" applyNumberFormat="1" applyFont="1" applyFill="1" applyBorder="1" applyAlignment="1">
      <alignment horizontal="center" vertical="center"/>
    </xf>
    <xf numFmtId="0" fontId="7" fillId="0" borderId="8" xfId="0" applyNumberFormat="1" applyFont="1" applyBorder="1">
      <alignment vertical="center"/>
    </xf>
    <xf numFmtId="41" fontId="7" fillId="0" borderId="41" xfId="0" applyNumberFormat="1" applyFont="1" applyBorder="1">
      <alignment vertical="center"/>
    </xf>
    <xf numFmtId="0" fontId="7" fillId="0" borderId="25" xfId="0" applyNumberFormat="1" applyFont="1" applyBorder="1">
      <alignment vertical="center"/>
    </xf>
    <xf numFmtId="179" fontId="8" fillId="0" borderId="10" xfId="2" applyNumberFormat="1" applyFont="1" applyBorder="1" applyAlignment="1">
      <alignment horizontal="right" vertical="center"/>
    </xf>
    <xf numFmtId="0" fontId="7" fillId="0" borderId="22" xfId="0" applyNumberFormat="1" applyFont="1" applyBorder="1">
      <alignment vertical="center"/>
    </xf>
    <xf numFmtId="179" fontId="8" fillId="0" borderId="4" xfId="2" applyNumberFormat="1" applyFont="1" applyBorder="1" applyAlignment="1">
      <alignment horizontal="right" vertical="center"/>
    </xf>
    <xf numFmtId="0" fontId="17" fillId="0" borderId="11" xfId="0" applyNumberFormat="1" applyFont="1" applyBorder="1" applyAlignment="1">
      <alignment horizontal="center" vertical="center"/>
    </xf>
    <xf numFmtId="0" fontId="17" fillId="0" borderId="41" xfId="0" applyNumberFormat="1" applyFont="1" applyBorder="1" applyAlignment="1">
      <alignment horizontal="center" vertical="center"/>
    </xf>
    <xf numFmtId="0" fontId="7" fillId="0" borderId="41" xfId="0" applyNumberFormat="1" applyFont="1" applyFill="1" applyBorder="1">
      <alignment vertical="center"/>
    </xf>
    <xf numFmtId="0" fontId="7" fillId="0" borderId="41" xfId="0" applyNumberFormat="1" applyFont="1" applyFill="1" applyBorder="1" applyAlignment="1">
      <alignment vertical="center"/>
    </xf>
    <xf numFmtId="0" fontId="7" fillId="0" borderId="41" xfId="0" applyNumberFormat="1" applyFont="1" applyFill="1" applyBorder="1" applyAlignment="1">
      <alignment horizontal="center" vertical="center"/>
    </xf>
    <xf numFmtId="41" fontId="16" fillId="0" borderId="41" xfId="0" applyNumberFormat="1" applyFont="1" applyFill="1" applyBorder="1">
      <alignment vertical="center"/>
    </xf>
    <xf numFmtId="0" fontId="16" fillId="0" borderId="25" xfId="0" applyNumberFormat="1" applyFont="1" applyFill="1" applyBorder="1">
      <alignment vertical="center"/>
    </xf>
    <xf numFmtId="0" fontId="17" fillId="0" borderId="4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vertical="center"/>
    </xf>
    <xf numFmtId="41" fontId="7" fillId="0" borderId="0" xfId="0" applyNumberFormat="1" applyFont="1" applyFill="1" applyBorder="1">
      <alignment vertical="center"/>
    </xf>
    <xf numFmtId="0" fontId="7" fillId="0" borderId="24" xfId="0" applyNumberFormat="1" applyFont="1" applyFill="1" applyBorder="1" applyAlignment="1">
      <alignment horizontal="left" vertical="center"/>
    </xf>
    <xf numFmtId="41" fontId="7" fillId="0" borderId="37" xfId="2" applyNumberFormat="1" applyFont="1" applyFill="1" applyBorder="1">
      <alignment vertical="center"/>
    </xf>
    <xf numFmtId="0" fontId="7" fillId="0" borderId="37" xfId="0" applyNumberFormat="1" applyFont="1" applyFill="1" applyBorder="1" applyAlignment="1">
      <alignment vertical="center"/>
    </xf>
    <xf numFmtId="0" fontId="7" fillId="0" borderId="22" xfId="0" applyNumberFormat="1" applyFont="1" applyFill="1" applyBorder="1" applyAlignment="1">
      <alignment horizontal="left" vertical="center"/>
    </xf>
    <xf numFmtId="41" fontId="7" fillId="0" borderId="0" xfId="4" applyNumberFormat="1" applyFont="1" applyFill="1" applyBorder="1" applyAlignment="1">
      <alignment horizontal="center" vertical="center"/>
    </xf>
    <xf numFmtId="0" fontId="16" fillId="0" borderId="24" xfId="0" applyNumberFormat="1" applyFont="1" applyBorder="1" applyAlignment="1">
      <alignment horizontal="left" vertical="center"/>
    </xf>
    <xf numFmtId="0" fontId="7" fillId="4" borderId="22" xfId="0" applyNumberFormat="1" applyFont="1" applyFill="1" applyBorder="1" applyAlignment="1">
      <alignment horizontal="left" vertical="center"/>
    </xf>
    <xf numFmtId="41" fontId="7" fillId="4" borderId="0" xfId="4" applyNumberFormat="1" applyFont="1" applyFill="1" applyBorder="1">
      <alignment vertical="center"/>
    </xf>
    <xf numFmtId="0" fontId="7" fillId="4" borderId="0" xfId="0" applyNumberFormat="1" applyFont="1" applyFill="1" applyBorder="1" applyAlignment="1">
      <alignment horizontal="center" vertical="center"/>
    </xf>
    <xf numFmtId="0" fontId="9" fillId="4" borderId="0" xfId="0" applyNumberFormat="1" applyFont="1" applyFill="1" applyBorder="1" applyAlignment="1">
      <alignment horizontal="center" vertical="center"/>
    </xf>
    <xf numFmtId="0" fontId="7" fillId="4" borderId="0" xfId="0" quotePrefix="1" applyNumberFormat="1" applyFont="1" applyFill="1" applyBorder="1" applyAlignment="1">
      <alignment horizontal="center" vertical="center"/>
    </xf>
    <xf numFmtId="0" fontId="7" fillId="4" borderId="28" xfId="0" applyNumberFormat="1" applyFont="1" applyFill="1" applyBorder="1">
      <alignment vertical="center"/>
    </xf>
    <xf numFmtId="41" fontId="7" fillId="0" borderId="0" xfId="2" applyNumberFormat="1" applyFont="1" applyFill="1">
      <alignment vertical="center"/>
    </xf>
    <xf numFmtId="3" fontId="8" fillId="0" borderId="3" xfId="2" applyNumberFormat="1" applyFont="1" applyFill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178" fontId="8" fillId="0" borderId="36" xfId="2" applyNumberFormat="1" applyFont="1" applyFill="1" applyBorder="1" applyAlignment="1">
      <alignment horizontal="right" vertical="center"/>
    </xf>
    <xf numFmtId="0" fontId="16" fillId="0" borderId="24" xfId="0" applyNumberFormat="1" applyFont="1" applyFill="1" applyBorder="1" applyAlignment="1">
      <alignment horizontal="left" vertical="center"/>
    </xf>
    <xf numFmtId="178" fontId="8" fillId="0" borderId="35" xfId="2" applyNumberFormat="1" applyFont="1" applyFill="1" applyBorder="1" applyAlignment="1">
      <alignment horizontal="right"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center" vertical="center"/>
    </xf>
    <xf numFmtId="0" fontId="8" fillId="0" borderId="44" xfId="0" applyNumberFormat="1" applyFont="1" applyBorder="1" applyAlignment="1">
      <alignment horizontal="center" vertical="center"/>
    </xf>
    <xf numFmtId="41" fontId="8" fillId="0" borderId="14" xfId="2" applyNumberFormat="1" applyFont="1" applyBorder="1" applyAlignment="1">
      <alignment horizontal="center" vertical="center"/>
    </xf>
    <xf numFmtId="178" fontId="8" fillId="0" borderId="72" xfId="2" applyNumberFormat="1" applyFont="1" applyFill="1" applyBorder="1" applyAlignment="1">
      <alignment horizontal="right" vertical="center"/>
    </xf>
    <xf numFmtId="41" fontId="8" fillId="0" borderId="14" xfId="4" applyNumberFormat="1" applyFont="1" applyFill="1" applyBorder="1" applyAlignment="1">
      <alignment horizontal="center" vertical="center"/>
    </xf>
    <xf numFmtId="3" fontId="8" fillId="0" borderId="14" xfId="2" applyNumberFormat="1" applyFont="1" applyFill="1" applyBorder="1" applyAlignment="1">
      <alignment horizontal="right" vertical="center"/>
    </xf>
    <xf numFmtId="180" fontId="8" fillId="0" borderId="14" xfId="2" applyNumberFormat="1" applyFont="1" applyBorder="1" applyAlignment="1">
      <alignment horizontal="right" vertical="center"/>
    </xf>
    <xf numFmtId="0" fontId="7" fillId="0" borderId="6" xfId="0" quotePrefix="1" applyNumberFormat="1" applyFont="1" applyFill="1" applyBorder="1" applyAlignment="1">
      <alignment horizontal="left" vertical="center" shrinkToFit="1"/>
    </xf>
    <xf numFmtId="41" fontId="7" fillId="0" borderId="6" xfId="4" applyNumberFormat="1" applyFont="1" applyFill="1" applyBorder="1">
      <alignment vertical="center"/>
    </xf>
    <xf numFmtId="0" fontId="7" fillId="0" borderId="6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7" fillId="0" borderId="6" xfId="0" quotePrefix="1" applyNumberFormat="1" applyFont="1" applyFill="1" applyBorder="1" applyAlignment="1">
      <alignment horizontal="center" vertical="center"/>
    </xf>
    <xf numFmtId="0" fontId="7" fillId="0" borderId="43" xfId="0" applyNumberFormat="1" applyFont="1" applyFill="1" applyBorder="1">
      <alignment vertical="center"/>
    </xf>
    <xf numFmtId="180" fontId="8" fillId="0" borderId="3" xfId="2" applyNumberFormat="1" applyFont="1" applyBorder="1" applyAlignment="1">
      <alignment horizontal="right" vertical="center"/>
    </xf>
    <xf numFmtId="0" fontId="8" fillId="0" borderId="8" xfId="0" applyNumberFormat="1" applyFont="1" applyBorder="1" applyAlignment="1">
      <alignment horizontal="center" vertical="center"/>
    </xf>
    <xf numFmtId="179" fontId="8" fillId="0" borderId="3" xfId="2" applyNumberFormat="1" applyFont="1" applyBorder="1" applyAlignment="1">
      <alignment horizontal="right" vertical="center"/>
    </xf>
    <xf numFmtId="0" fontId="7" fillId="0" borderId="42" xfId="0" applyNumberFormat="1" applyFont="1" applyFill="1" applyBorder="1" applyAlignment="1">
      <alignment horizontal="left" vertical="center"/>
    </xf>
    <xf numFmtId="0" fontId="7" fillId="0" borderId="29" xfId="0" applyNumberFormat="1" applyFont="1" applyFill="1" applyBorder="1" applyAlignment="1">
      <alignment horizontal="center" vertical="center" shrinkToFit="1"/>
    </xf>
    <xf numFmtId="0" fontId="8" fillId="0" borderId="8" xfId="0" applyNumberFormat="1" applyFont="1" applyBorder="1" applyAlignment="1">
      <alignment horizontal="center" vertical="center" wrapText="1"/>
    </xf>
    <xf numFmtId="0" fontId="16" fillId="0" borderId="28" xfId="0" applyNumberFormat="1" applyFont="1" applyFill="1" applyBorder="1">
      <alignment vertical="center"/>
    </xf>
    <xf numFmtId="178" fontId="8" fillId="0" borderId="40" xfId="2" applyNumberFormat="1" applyFont="1" applyFill="1" applyBorder="1" applyAlignment="1">
      <alignment horizontal="right" vertical="center"/>
    </xf>
    <xf numFmtId="41" fontId="8" fillId="0" borderId="40" xfId="4" applyNumberFormat="1" applyFont="1" applyFill="1" applyBorder="1" applyAlignment="1">
      <alignment horizontal="center" vertical="center"/>
    </xf>
    <xf numFmtId="0" fontId="7" fillId="0" borderId="42" xfId="0" applyNumberFormat="1" applyFont="1" applyBorder="1" applyAlignment="1">
      <alignment horizontal="left" vertical="center"/>
    </xf>
    <xf numFmtId="0" fontId="16" fillId="0" borderId="0" xfId="0" quotePrefix="1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42" xfId="0" applyNumberFormat="1" applyFont="1" applyBorder="1" applyAlignment="1">
      <alignment horizontal="center" vertical="center" wrapText="1"/>
    </xf>
    <xf numFmtId="0" fontId="17" fillId="0" borderId="22" xfId="0" applyNumberFormat="1" applyFont="1" applyBorder="1" applyAlignment="1">
      <alignment horizontal="center" vertical="center"/>
    </xf>
    <xf numFmtId="0" fontId="10" fillId="0" borderId="22" xfId="0" applyNumberFormat="1" applyFont="1" applyFill="1" applyBorder="1" applyAlignment="1">
      <alignment horizontal="left" vertical="center" shrinkToFit="1"/>
    </xf>
    <xf numFmtId="0" fontId="8" fillId="0" borderId="16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10" fillId="0" borderId="42" xfId="0" applyNumberFormat="1" applyFont="1" applyFill="1" applyBorder="1" applyAlignment="1">
      <alignment horizontal="left" vertical="center" shrinkToFit="1"/>
    </xf>
    <xf numFmtId="0" fontId="17" fillId="0" borderId="10" xfId="0" applyNumberFormat="1" applyFont="1" applyBorder="1" applyAlignment="1">
      <alignment horizontal="center" vertical="center"/>
    </xf>
    <xf numFmtId="41" fontId="8" fillId="0" borderId="40" xfId="2" applyNumberFormat="1" applyFont="1" applyBorder="1" applyAlignment="1">
      <alignment horizontal="center" vertical="center"/>
    </xf>
    <xf numFmtId="41" fontId="18" fillId="0" borderId="9" xfId="4" applyNumberFormat="1" applyFont="1" applyFill="1" applyBorder="1" applyAlignment="1">
      <alignment horizontal="center" vertical="center"/>
    </xf>
    <xf numFmtId="0" fontId="7" fillId="0" borderId="41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shrinkToFit="1"/>
    </xf>
    <xf numFmtId="41" fontId="8" fillId="0" borderId="10" xfId="2" applyNumberFormat="1" applyFont="1" applyBorder="1" applyAlignment="1">
      <alignment horizontal="right" vertical="center"/>
    </xf>
    <xf numFmtId="41" fontId="8" fillId="0" borderId="36" xfId="2" applyNumberFormat="1" applyFont="1" applyFill="1" applyBorder="1" applyAlignment="1">
      <alignment horizontal="right" vertical="center"/>
    </xf>
    <xf numFmtId="41" fontId="8" fillId="0" borderId="10" xfId="4" applyNumberFormat="1" applyFont="1" applyFill="1" applyBorder="1" applyAlignment="1">
      <alignment horizontal="right" vertical="center"/>
    </xf>
    <xf numFmtId="0" fontId="7" fillId="0" borderId="8" xfId="0" applyNumberFormat="1" applyFont="1" applyBorder="1" applyAlignment="1">
      <alignment horizontal="left" vertical="center"/>
    </xf>
    <xf numFmtId="41" fontId="7" fillId="0" borderId="41" xfId="2" applyNumberFormat="1" applyFont="1" applyBorder="1">
      <alignment vertical="center"/>
    </xf>
    <xf numFmtId="0" fontId="9" fillId="0" borderId="41" xfId="0" applyNumberFormat="1" applyFont="1" applyBorder="1" applyAlignment="1">
      <alignment horizontal="center" vertical="center"/>
    </xf>
    <xf numFmtId="0" fontId="7" fillId="0" borderId="41" xfId="0" quotePrefix="1" applyNumberFormat="1" applyFont="1" applyBorder="1" applyAlignment="1">
      <alignment horizontal="center" vertical="center"/>
    </xf>
    <xf numFmtId="41" fontId="7" fillId="0" borderId="41" xfId="4" applyNumberFormat="1" applyFont="1" applyBorder="1">
      <alignment vertical="center"/>
    </xf>
    <xf numFmtId="0" fontId="7" fillId="0" borderId="37" xfId="0" quotePrefix="1" applyNumberFormat="1" applyFont="1" applyBorder="1" applyAlignment="1">
      <alignment horizontal="center" vertical="center"/>
    </xf>
    <xf numFmtId="41" fontId="17" fillId="0" borderId="10" xfId="2" applyNumberFormat="1" applyFont="1" applyBorder="1" applyAlignment="1">
      <alignment horizontal="center" vertical="center"/>
    </xf>
    <xf numFmtId="41" fontId="17" fillId="0" borderId="40" xfId="2" applyNumberFormat="1" applyFont="1" applyBorder="1" applyAlignment="1">
      <alignment horizontal="center" vertical="center"/>
    </xf>
    <xf numFmtId="3" fontId="17" fillId="0" borderId="9" xfId="2" applyNumberFormat="1" applyFont="1" applyBorder="1" applyAlignment="1">
      <alignment horizontal="right" vertical="center"/>
    </xf>
    <xf numFmtId="41" fontId="16" fillId="0" borderId="37" xfId="4" applyNumberFormat="1" applyFont="1" applyBorder="1">
      <alignment vertical="center"/>
    </xf>
    <xf numFmtId="0" fontId="16" fillId="0" borderId="38" xfId="0" applyNumberFormat="1" applyFont="1" applyBorder="1">
      <alignment vertical="center"/>
    </xf>
    <xf numFmtId="0" fontId="8" fillId="0" borderId="22" xfId="0" applyNumberFormat="1" applyFont="1" applyBorder="1" applyAlignment="1">
      <alignment horizontal="center" vertical="center" wrapText="1"/>
    </xf>
    <xf numFmtId="41" fontId="8" fillId="0" borderId="9" xfId="4" applyNumberFormat="1" applyFont="1" applyFill="1" applyBorder="1" applyAlignment="1">
      <alignment horizontal="right" vertical="center"/>
    </xf>
    <xf numFmtId="41" fontId="8" fillId="0" borderId="9" xfId="4" applyNumberFormat="1" applyFont="1" applyFill="1" applyBorder="1" applyAlignment="1">
      <alignment horizontal="center" vertical="center"/>
    </xf>
    <xf numFmtId="0" fontId="10" fillId="0" borderId="8" xfId="0" applyNumberFormat="1" applyFont="1" applyBorder="1" applyAlignment="1">
      <alignment vertical="center" shrinkToFit="1"/>
    </xf>
    <xf numFmtId="180" fontId="8" fillId="0" borderId="9" xfId="2" applyNumberFormat="1" applyFont="1" applyBorder="1" applyAlignment="1">
      <alignment horizontal="right" vertical="center"/>
    </xf>
    <xf numFmtId="41" fontId="7" fillId="0" borderId="0" xfId="2" applyNumberFormat="1" applyFont="1" applyFill="1" applyBorder="1">
      <alignment vertical="center"/>
    </xf>
    <xf numFmtId="41" fontId="8" fillId="0" borderId="72" xfId="2" applyNumberFormat="1" applyFont="1" applyFill="1" applyBorder="1" applyAlignment="1">
      <alignment horizontal="center" vertical="center"/>
    </xf>
    <xf numFmtId="41" fontId="8" fillId="0" borderId="14" xfId="4" applyNumberFormat="1" applyFont="1" applyFill="1" applyBorder="1" applyAlignment="1">
      <alignment horizontal="center" vertical="center"/>
    </xf>
    <xf numFmtId="180" fontId="8" fillId="0" borderId="5" xfId="2" applyNumberFormat="1" applyFont="1" applyBorder="1" applyAlignment="1">
      <alignment horizontal="right" vertical="center"/>
    </xf>
    <xf numFmtId="0" fontId="7" fillId="0" borderId="44" xfId="0" applyNumberFormat="1" applyFont="1" applyBorder="1" applyAlignment="1">
      <alignment horizontal="left" vertical="center"/>
    </xf>
    <xf numFmtId="41" fontId="7" fillId="0" borderId="6" xfId="2" applyNumberFormat="1" applyFont="1" applyBorder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7" fillId="0" borderId="6" xfId="0" quotePrefix="1" applyNumberFormat="1" applyFont="1" applyBorder="1" applyAlignment="1">
      <alignment horizontal="center" vertical="center"/>
    </xf>
    <xf numFmtId="0" fontId="7" fillId="0" borderId="43" xfId="0" applyNumberFormat="1" applyFont="1" applyBorder="1">
      <alignment vertical="center"/>
    </xf>
    <xf numFmtId="41" fontId="8" fillId="0" borderId="0" xfId="2" applyNumberFormat="1" applyFont="1" applyAlignment="1">
      <alignment horizontal="center" vertical="center"/>
    </xf>
    <xf numFmtId="41" fontId="8" fillId="0" borderId="0" xfId="2" applyNumberFormat="1" applyFont="1" applyFill="1" applyAlignment="1">
      <alignment horizontal="center" vertical="center"/>
    </xf>
    <xf numFmtId="3" fontId="8" fillId="0" borderId="0" xfId="2" applyNumberFormat="1" applyFont="1" applyFill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0" fontId="10" fillId="0" borderId="0" xfId="0" applyNumberFormat="1" applyFont="1">
      <alignment vertical="center"/>
    </xf>
    <xf numFmtId="0" fontId="10" fillId="0" borderId="0" xfId="0" applyNumberFormat="1" applyFont="1" applyAlignment="1">
      <alignment horizontal="center" vertical="center"/>
    </xf>
    <xf numFmtId="0" fontId="13" fillId="0" borderId="0" xfId="0" applyNumberFormat="1" applyFont="1" applyBorder="1" applyAlignment="1">
      <alignment horizontal="left" vertical="center"/>
    </xf>
    <xf numFmtId="178" fontId="8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vertical="center"/>
    </xf>
    <xf numFmtId="0" fontId="10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41" fontId="18" fillId="0" borderId="0" xfId="2" applyNumberFormat="1" applyFont="1">
      <alignment vertical="center"/>
    </xf>
    <xf numFmtId="0" fontId="19" fillId="0" borderId="0" xfId="0" applyNumberFormat="1" applyFont="1" applyBorder="1" applyAlignment="1">
      <alignment horizontal="left" vertical="center"/>
    </xf>
    <xf numFmtId="41" fontId="14" fillId="0" borderId="0" xfId="2" applyNumberFormat="1" applyFont="1" applyFill="1" applyBorder="1" applyAlignment="1">
      <alignment horizontal="center" vertical="center"/>
    </xf>
    <xf numFmtId="41" fontId="14" fillId="0" borderId="0" xfId="2" applyNumberFormat="1" applyFont="1" applyBorder="1" applyAlignment="1">
      <alignment horizontal="center" vertical="center"/>
    </xf>
    <xf numFmtId="178" fontId="14" fillId="0" borderId="0" xfId="2" applyNumberFormat="1" applyFont="1" applyBorder="1" applyAlignment="1">
      <alignment horizontal="right" vertical="center"/>
    </xf>
    <xf numFmtId="179" fontId="14" fillId="0" borderId="0" xfId="2" applyNumberFormat="1" applyFont="1" applyBorder="1" applyAlignment="1">
      <alignment vertical="center"/>
    </xf>
    <xf numFmtId="0" fontId="15" fillId="0" borderId="66" xfId="0" applyNumberFormat="1" applyFont="1" applyBorder="1" applyAlignment="1">
      <alignment horizontal="center" vertical="center"/>
    </xf>
    <xf numFmtId="41" fontId="15" fillId="2" borderId="66" xfId="4" applyNumberFormat="1" applyFont="1" applyFill="1" applyBorder="1" applyAlignment="1">
      <alignment horizontal="center" vertical="center" wrapText="1"/>
    </xf>
    <xf numFmtId="41" fontId="15" fillId="0" borderId="58" xfId="2" applyNumberFormat="1" applyFont="1" applyBorder="1" applyAlignment="1">
      <alignment horizontal="center" vertical="center"/>
    </xf>
    <xf numFmtId="0" fontId="15" fillId="0" borderId="65" xfId="0" applyNumberFormat="1" applyFont="1" applyBorder="1" applyAlignment="1">
      <alignment horizontal="center" vertical="center"/>
    </xf>
    <xf numFmtId="41" fontId="15" fillId="2" borderId="47" xfId="4" applyNumberFormat="1" applyFont="1" applyFill="1" applyBorder="1" applyAlignment="1">
      <alignment horizontal="center" vertical="center" wrapText="1"/>
    </xf>
    <xf numFmtId="41" fontId="15" fillId="0" borderId="45" xfId="2" applyNumberFormat="1" applyFont="1" applyBorder="1" applyAlignment="1">
      <alignment horizontal="center" vertical="center"/>
    </xf>
    <xf numFmtId="179" fontId="15" fillId="0" borderId="45" xfId="2" applyNumberFormat="1" applyFont="1" applyBorder="1" applyAlignment="1">
      <alignment vertical="center"/>
    </xf>
    <xf numFmtId="41" fontId="15" fillId="0" borderId="46" xfId="2" applyNumberFormat="1" applyFont="1" applyBorder="1" applyAlignment="1">
      <alignment horizontal="center" vertical="center"/>
    </xf>
    <xf numFmtId="41" fontId="15" fillId="2" borderId="47" xfId="4" applyNumberFormat="1" applyFont="1" applyFill="1" applyBorder="1" applyAlignment="1">
      <alignment horizontal="center" vertical="center"/>
    </xf>
    <xf numFmtId="178" fontId="15" fillId="0" borderId="48" xfId="2" applyNumberFormat="1" applyFont="1" applyBorder="1" applyAlignment="1">
      <alignment horizontal="right" vertical="center"/>
    </xf>
    <xf numFmtId="179" fontId="15" fillId="0" borderId="48" xfId="2" applyNumberFormat="1" applyFont="1" applyBorder="1" applyAlignment="1">
      <alignment vertical="center"/>
    </xf>
    <xf numFmtId="0" fontId="10" fillId="0" borderId="49" xfId="0" applyNumberFormat="1" applyFont="1" applyBorder="1">
      <alignment vertical="center"/>
    </xf>
    <xf numFmtId="0" fontId="10" fillId="0" borderId="50" xfId="0" applyNumberFormat="1" applyFont="1" applyBorder="1">
      <alignment vertical="center"/>
    </xf>
    <xf numFmtId="41" fontId="16" fillId="0" borderId="50" xfId="2" applyNumberFormat="1" applyFont="1" applyBorder="1" applyAlignment="1">
      <alignment horizontal="center" vertical="center"/>
    </xf>
    <xf numFmtId="0" fontId="11" fillId="0" borderId="51" xfId="0" applyNumberFormat="1" applyFont="1" applyBorder="1">
      <alignment vertical="center"/>
    </xf>
    <xf numFmtId="41" fontId="8" fillId="0" borderId="25" xfId="2" applyNumberFormat="1" applyFont="1" applyBorder="1">
      <alignment vertical="center"/>
    </xf>
    <xf numFmtId="0" fontId="17" fillId="0" borderId="18" xfId="0" applyNumberFormat="1" applyFont="1" applyBorder="1" applyAlignment="1">
      <alignment horizontal="center" vertical="center"/>
    </xf>
    <xf numFmtId="0" fontId="17" fillId="0" borderId="21" xfId="0" applyNumberFormat="1" applyFont="1" applyBorder="1" applyAlignment="1">
      <alignment horizontal="center" vertical="center"/>
    </xf>
    <xf numFmtId="41" fontId="15" fillId="0" borderId="52" xfId="2" applyNumberFormat="1" applyFont="1" applyFill="1" applyBorder="1" applyAlignment="1">
      <alignment horizontal="center" vertical="center"/>
    </xf>
    <xf numFmtId="41" fontId="15" fillId="0" borderId="52" xfId="2" applyNumberFormat="1" applyFont="1" applyBorder="1" applyAlignment="1">
      <alignment horizontal="center" vertical="center"/>
    </xf>
    <xf numFmtId="41" fontId="15" fillId="2" borderId="52" xfId="4" applyNumberFormat="1" applyFont="1" applyFill="1" applyBorder="1" applyAlignment="1">
      <alignment horizontal="center" vertical="center"/>
    </xf>
    <xf numFmtId="178" fontId="15" fillId="0" borderId="52" xfId="2" applyNumberFormat="1" applyFont="1" applyBorder="1" applyAlignment="1">
      <alignment horizontal="right" vertical="center"/>
    </xf>
    <xf numFmtId="179" fontId="15" fillId="0" borderId="52" xfId="2" applyNumberFormat="1" applyFont="1" applyBorder="1" applyAlignment="1">
      <alignment vertical="center"/>
    </xf>
    <xf numFmtId="0" fontId="10" fillId="0" borderId="21" xfId="0" applyNumberFormat="1" applyFont="1" applyBorder="1" applyAlignment="1">
      <alignment horizontal="left" vertical="center"/>
    </xf>
    <xf numFmtId="41" fontId="7" fillId="0" borderId="53" xfId="2" applyNumberFormat="1" applyFont="1" applyBorder="1">
      <alignment vertical="center"/>
    </xf>
    <xf numFmtId="0" fontId="7" fillId="0" borderId="53" xfId="0" applyNumberFormat="1" applyFont="1" applyBorder="1">
      <alignment vertical="center"/>
    </xf>
    <xf numFmtId="0" fontId="7" fillId="0" borderId="53" xfId="0" applyNumberFormat="1" applyFont="1" applyBorder="1" applyAlignment="1">
      <alignment horizontal="center" vertical="center"/>
    </xf>
    <xf numFmtId="41" fontId="16" fillId="0" borderId="53" xfId="2" applyNumberFormat="1" applyFont="1" applyBorder="1">
      <alignment vertical="center"/>
    </xf>
    <xf numFmtId="0" fontId="16" fillId="0" borderId="54" xfId="0" applyNumberFormat="1" applyFont="1" applyBorder="1">
      <alignment vertical="center"/>
    </xf>
    <xf numFmtId="41" fontId="8" fillId="0" borderId="2" xfId="2" applyNumberFormat="1" applyFont="1" applyBorder="1" applyAlignment="1">
      <alignment horizontal="center" vertical="center"/>
    </xf>
    <xf numFmtId="0" fontId="15" fillId="0" borderId="22" xfId="0" applyNumberFormat="1" applyFont="1" applyBorder="1" applyAlignment="1">
      <alignment horizontal="center" vertical="center"/>
    </xf>
    <xf numFmtId="41" fontId="15" fillId="0" borderId="23" xfId="2" applyNumberFormat="1" applyFont="1" applyFill="1" applyBorder="1" applyAlignment="1">
      <alignment horizontal="center" vertical="center"/>
    </xf>
    <xf numFmtId="41" fontId="15" fillId="0" borderId="23" xfId="2" applyNumberFormat="1" applyFont="1" applyBorder="1" applyAlignment="1">
      <alignment horizontal="center" vertical="center"/>
    </xf>
    <xf numFmtId="41" fontId="15" fillId="2" borderId="23" xfId="4" applyNumberFormat="1" applyFont="1" applyFill="1" applyBorder="1" applyAlignment="1">
      <alignment horizontal="center" vertical="center"/>
    </xf>
    <xf numFmtId="178" fontId="15" fillId="0" borderId="23" xfId="2" applyNumberFormat="1" applyFont="1" applyBorder="1" applyAlignment="1">
      <alignment horizontal="right" vertical="center"/>
    </xf>
    <xf numFmtId="179" fontId="15" fillId="0" borderId="23" xfId="2" applyNumberFormat="1" applyFont="1" applyBorder="1" applyAlignment="1">
      <alignment vertical="center"/>
    </xf>
    <xf numFmtId="0" fontId="10" fillId="0" borderId="22" xfId="0" applyNumberFormat="1" applyFont="1" applyBorder="1" applyAlignment="1">
      <alignment horizontal="left" vertical="center"/>
    </xf>
    <xf numFmtId="41" fontId="20" fillId="3" borderId="55" xfId="2" applyNumberFormat="1" applyFont="1" applyFill="1" applyBorder="1" applyAlignment="1">
      <alignment horizontal="center" vertical="distributed"/>
    </xf>
    <xf numFmtId="0" fontId="7" fillId="0" borderId="19" xfId="0" applyNumberFormat="1" applyFont="1" applyBorder="1" applyAlignment="1">
      <alignment horizontal="center" vertical="center"/>
    </xf>
    <xf numFmtId="41" fontId="8" fillId="0" borderId="56" xfId="2" applyNumberFormat="1" applyFont="1" applyFill="1" applyBorder="1" applyAlignment="1">
      <alignment horizontal="right" vertical="center"/>
    </xf>
    <xf numFmtId="178" fontId="8" fillId="0" borderId="56" xfId="2" applyNumberFormat="1" applyFont="1" applyBorder="1" applyAlignment="1">
      <alignment horizontal="right" vertical="center"/>
    </xf>
    <xf numFmtId="179" fontId="8" fillId="0" borderId="56" xfId="2" applyNumberFormat="1" applyFont="1" applyBorder="1" applyAlignment="1">
      <alignment horizontal="right" vertical="center"/>
    </xf>
    <xf numFmtId="41" fontId="21" fillId="3" borderId="55" xfId="2" applyNumberFormat="1" applyFont="1" applyFill="1" applyBorder="1" applyAlignment="1">
      <alignment horizontal="center" vertical="distributed"/>
    </xf>
    <xf numFmtId="41" fontId="8" fillId="0" borderId="23" xfId="2" applyNumberFormat="1" applyFont="1" applyFill="1" applyBorder="1" applyAlignment="1">
      <alignment horizontal="right" vertical="center"/>
    </xf>
    <xf numFmtId="178" fontId="8" fillId="0" borderId="23" xfId="2" applyNumberFormat="1" applyFont="1" applyBorder="1" applyAlignment="1">
      <alignment horizontal="right" vertical="center"/>
    </xf>
    <xf numFmtId="179" fontId="8" fillId="0" borderId="23" xfId="2" applyNumberFormat="1" applyFont="1" applyBorder="1" applyAlignment="1">
      <alignment horizontal="right" vertical="center"/>
    </xf>
    <xf numFmtId="178" fontId="7" fillId="0" borderId="0" xfId="2" applyNumberFormat="1" applyFont="1" applyBorder="1">
      <alignment vertical="center"/>
    </xf>
    <xf numFmtId="41" fontId="21" fillId="3" borderId="0" xfId="2" applyNumberFormat="1" applyFont="1" applyFill="1" applyBorder="1" applyAlignment="1">
      <alignment horizontal="center" vertical="distributed"/>
    </xf>
    <xf numFmtId="41" fontId="8" fillId="0" borderId="48" xfId="2" applyNumberFormat="1" applyFont="1" applyFill="1" applyBorder="1" applyAlignment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9" fontId="8" fillId="0" borderId="48" xfId="2" applyNumberFormat="1" applyFont="1" applyBorder="1" applyAlignment="1">
      <alignment horizontal="right" vertical="center"/>
    </xf>
    <xf numFmtId="41" fontId="8" fillId="0" borderId="56" xfId="2" applyNumberFormat="1" applyFont="1" applyFill="1" applyBorder="1" applyAlignment="1">
      <alignment horizontal="center" vertical="center"/>
    </xf>
    <xf numFmtId="41" fontId="8" fillId="0" borderId="56" xfId="2" applyNumberFormat="1" applyFont="1" applyBorder="1" applyAlignment="1">
      <alignment horizontal="center" vertical="center"/>
    </xf>
    <xf numFmtId="179" fontId="8" fillId="0" borderId="56" xfId="2" applyNumberFormat="1" applyFont="1" applyBorder="1" applyAlignment="1">
      <alignment vertical="center"/>
    </xf>
    <xf numFmtId="41" fontId="8" fillId="0" borderId="23" xfId="2" applyNumberFormat="1" applyFont="1" applyFill="1" applyBorder="1" applyAlignment="1">
      <alignment horizontal="center" vertical="center"/>
    </xf>
    <xf numFmtId="41" fontId="8" fillId="0" borderId="23" xfId="2" applyNumberFormat="1" applyFont="1" applyBorder="1" applyAlignment="1">
      <alignment horizontal="center" vertical="center"/>
    </xf>
    <xf numFmtId="179" fontId="8" fillId="0" borderId="23" xfId="2" applyNumberFormat="1" applyFont="1" applyBorder="1" applyAlignment="1">
      <alignment vertical="center"/>
    </xf>
    <xf numFmtId="0" fontId="7" fillId="0" borderId="17" xfId="0" applyNumberFormat="1" applyFont="1" applyBorder="1" applyAlignment="1">
      <alignment horizontal="left" vertical="center"/>
    </xf>
    <xf numFmtId="0" fontId="7" fillId="0" borderId="57" xfId="0" applyNumberFormat="1" applyFont="1" applyBorder="1" applyAlignment="1">
      <alignment horizontal="left" vertical="center"/>
    </xf>
    <xf numFmtId="41" fontId="8" fillId="0" borderId="48" xfId="2" applyNumberFormat="1" applyFont="1" applyFill="1" applyBorder="1" applyAlignment="1">
      <alignment horizontal="center" vertical="center"/>
    </xf>
    <xf numFmtId="41" fontId="8" fillId="0" borderId="48" xfId="2" applyNumberFormat="1" applyFont="1" applyBorder="1" applyAlignment="1">
      <alignment horizontal="center" vertical="center"/>
    </xf>
    <xf numFmtId="179" fontId="8" fillId="0" borderId="48" xfId="2" applyNumberFormat="1" applyFont="1" applyBorder="1" applyAlignment="1">
      <alignment vertical="center"/>
    </xf>
    <xf numFmtId="3" fontId="7" fillId="0" borderId="0" xfId="0" applyNumberFormat="1" applyFont="1" applyBorder="1">
      <alignment vertical="center"/>
    </xf>
    <xf numFmtId="0" fontId="7" fillId="0" borderId="8" xfId="0" applyNumberFormat="1" applyFont="1" applyBorder="1" applyAlignment="1">
      <alignment horizontal="center" vertical="center" wrapText="1"/>
    </xf>
    <xf numFmtId="41" fontId="8" fillId="0" borderId="62" xfId="2" applyNumberFormat="1" applyFont="1" applyFill="1" applyBorder="1" applyAlignment="1">
      <alignment horizontal="center" vertical="center"/>
    </xf>
    <xf numFmtId="41" fontId="8" fillId="0" borderId="62" xfId="2" applyNumberFormat="1" applyFont="1" applyBorder="1" applyAlignment="1">
      <alignment horizontal="center" vertical="center"/>
    </xf>
    <xf numFmtId="178" fontId="8" fillId="0" borderId="62" xfId="2" applyNumberFormat="1" applyFont="1" applyBorder="1" applyAlignment="1">
      <alignment horizontal="right" vertical="center"/>
    </xf>
    <xf numFmtId="179" fontId="8" fillId="0" borderId="62" xfId="2" applyNumberFormat="1" applyFont="1" applyBorder="1" applyAlignment="1">
      <alignment vertical="center"/>
    </xf>
    <xf numFmtId="184" fontId="7" fillId="0" borderId="0" xfId="0" applyNumberFormat="1" applyFont="1" applyBorder="1" applyAlignment="1">
      <alignment horizontal="center" vertical="center"/>
    </xf>
    <xf numFmtId="10" fontId="7" fillId="0" borderId="0" xfId="0" applyNumberFormat="1" applyFont="1" applyBorder="1" applyAlignment="1">
      <alignment horizontal="center" vertical="center"/>
    </xf>
    <xf numFmtId="0" fontId="7" fillId="0" borderId="30" xfId="0" applyNumberFormat="1" applyFont="1" applyBorder="1" applyAlignment="1">
      <alignment horizontal="left" vertical="center"/>
    </xf>
    <xf numFmtId="183" fontId="7" fillId="0" borderId="29" xfId="0" applyNumberFormat="1" applyFont="1" applyBorder="1" applyAlignment="1">
      <alignment horizontal="center" vertical="center" shrinkToFit="1"/>
    </xf>
    <xf numFmtId="41" fontId="8" fillId="2" borderId="45" xfId="4" applyNumberFormat="1" applyFont="1" applyFill="1" applyBorder="1" applyAlignment="1">
      <alignment horizontal="center" vertical="center"/>
    </xf>
    <xf numFmtId="0" fontId="7" fillId="0" borderId="17" xfId="0" applyNumberFormat="1" applyFont="1" applyBorder="1" applyAlignment="1">
      <alignment horizontal="left" vertical="center" shrinkToFit="1"/>
    </xf>
    <xf numFmtId="0" fontId="17" fillId="0" borderId="4" xfId="0" applyNumberFormat="1" applyFont="1" applyBorder="1" applyAlignment="1">
      <alignment horizontal="center" vertical="center" wrapText="1"/>
    </xf>
    <xf numFmtId="0" fontId="10" fillId="0" borderId="0" xfId="0" applyNumberFormat="1" applyFont="1" applyBorder="1" applyAlignment="1">
      <alignment horizontal="left" vertical="center"/>
    </xf>
    <xf numFmtId="0" fontId="8" fillId="0" borderId="17" xfId="0" applyNumberFormat="1" applyFont="1" applyBorder="1" applyAlignment="1">
      <alignment horizontal="center" vertical="center"/>
    </xf>
    <xf numFmtId="0" fontId="7" fillId="0" borderId="17" xfId="0" applyNumberFormat="1" applyFont="1" applyBorder="1">
      <alignment vertical="center"/>
    </xf>
    <xf numFmtId="0" fontId="16" fillId="0" borderId="37" xfId="0" applyNumberFormat="1" applyFont="1" applyBorder="1" applyAlignment="1">
      <alignment horizontal="left" vertical="center"/>
    </xf>
    <xf numFmtId="0" fontId="17" fillId="0" borderId="24" xfId="0" applyNumberFormat="1" applyFont="1" applyBorder="1" applyAlignment="1">
      <alignment horizontal="center" vertical="center"/>
    </xf>
    <xf numFmtId="41" fontId="17" fillId="0" borderId="56" xfId="2" applyNumberFormat="1" applyFont="1" applyFill="1" applyBorder="1" applyAlignment="1">
      <alignment horizontal="center" vertical="center"/>
    </xf>
    <xf numFmtId="41" fontId="17" fillId="0" borderId="56" xfId="2" applyNumberFormat="1" applyFont="1" applyBorder="1" applyAlignment="1">
      <alignment horizontal="center" vertical="center"/>
    </xf>
    <xf numFmtId="41" fontId="17" fillId="2" borderId="56" xfId="4" applyNumberFormat="1" applyFont="1" applyFill="1" applyBorder="1" applyAlignment="1">
      <alignment horizontal="center" vertical="center"/>
    </xf>
    <xf numFmtId="178" fontId="17" fillId="0" borderId="56" xfId="2" applyNumberFormat="1" applyFont="1" applyBorder="1" applyAlignment="1">
      <alignment horizontal="right" vertical="center"/>
    </xf>
    <xf numFmtId="179" fontId="17" fillId="0" borderId="56" xfId="2" applyNumberFormat="1" applyFont="1" applyBorder="1" applyAlignment="1">
      <alignment vertical="center"/>
    </xf>
    <xf numFmtId="9" fontId="8" fillId="0" borderId="4" xfId="1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 wrapText="1"/>
    </xf>
    <xf numFmtId="0" fontId="7" fillId="0" borderId="22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16" fillId="0" borderId="57" xfId="0" applyNumberFormat="1" applyFont="1" applyBorder="1" applyAlignment="1">
      <alignment horizontal="left" vertical="center"/>
    </xf>
    <xf numFmtId="41" fontId="16" fillId="0" borderId="37" xfId="2" applyNumberFormat="1" applyFont="1" applyBorder="1">
      <alignment vertical="center"/>
    </xf>
    <xf numFmtId="0" fontId="7" fillId="0" borderId="2" xfId="0" applyNumberFormat="1" applyFont="1" applyBorder="1">
      <alignment vertical="center"/>
    </xf>
    <xf numFmtId="0" fontId="7" fillId="0" borderId="4" xfId="0" applyNumberFormat="1" applyFont="1" applyBorder="1">
      <alignment vertical="center"/>
    </xf>
    <xf numFmtId="41" fontId="10" fillId="0" borderId="0" xfId="2" applyNumberFormat="1" applyFont="1">
      <alignment vertical="center"/>
    </xf>
    <xf numFmtId="0" fontId="7" fillId="0" borderId="0" xfId="0" applyNumberFormat="1" applyFont="1" applyFill="1" applyBorder="1" applyAlignment="1">
      <alignment horizontal="left" vertical="center"/>
    </xf>
    <xf numFmtId="41" fontId="17" fillId="0" borderId="23" xfId="2" applyNumberFormat="1" applyFont="1" applyFill="1" applyBorder="1" applyAlignment="1">
      <alignment horizontal="center" vertical="center"/>
    </xf>
    <xf numFmtId="41" fontId="17" fillId="0" borderId="23" xfId="2" applyNumberFormat="1" applyFont="1" applyBorder="1" applyAlignment="1">
      <alignment horizontal="center" vertical="center"/>
    </xf>
    <xf numFmtId="41" fontId="17" fillId="2" borderId="23" xfId="4" applyNumberFormat="1" applyFont="1" applyFill="1" applyBorder="1" applyAlignment="1">
      <alignment horizontal="center" vertical="center"/>
    </xf>
    <xf numFmtId="178" fontId="17" fillId="0" borderId="23" xfId="2" applyNumberFormat="1" applyFont="1" applyBorder="1" applyAlignment="1">
      <alignment horizontal="right" vertical="center"/>
    </xf>
    <xf numFmtId="179" fontId="17" fillId="0" borderId="23" xfId="2" applyNumberFormat="1" applyFont="1" applyBorder="1" applyAlignment="1">
      <alignment vertical="center"/>
    </xf>
    <xf numFmtId="41" fontId="16" fillId="0" borderId="0" xfId="2" applyNumberFormat="1" applyFont="1" applyBorder="1">
      <alignment vertical="center"/>
    </xf>
    <xf numFmtId="0" fontId="7" fillId="0" borderId="37" xfId="0" applyNumberFormat="1" applyFont="1" applyBorder="1" applyAlignment="1">
      <alignment horizontal="left" vertical="center" shrinkToFit="1"/>
    </xf>
    <xf numFmtId="0" fontId="7" fillId="0" borderId="30" xfId="0" applyNumberFormat="1" applyFont="1" applyBorder="1" applyAlignment="1">
      <alignment horizontal="left" vertical="center" shrinkToFit="1"/>
    </xf>
    <xf numFmtId="0" fontId="7" fillId="0" borderId="0" xfId="0" applyNumberFormat="1" applyFont="1" applyBorder="1" applyAlignment="1">
      <alignment horizontal="left" vertical="center" shrinkToFit="1"/>
    </xf>
    <xf numFmtId="0" fontId="7" fillId="0" borderId="57" xfId="0" applyNumberFormat="1" applyFont="1" applyBorder="1" applyAlignment="1">
      <alignment horizontal="left" vertical="center" shrinkToFit="1"/>
    </xf>
    <xf numFmtId="0" fontId="7" fillId="0" borderId="26" xfId="0" applyNumberFormat="1" applyFont="1" applyBorder="1" applyAlignment="1">
      <alignment horizontal="center" vertical="center" wrapText="1"/>
    </xf>
    <xf numFmtId="41" fontId="17" fillId="0" borderId="27" xfId="2" applyNumberFormat="1" applyFont="1" applyBorder="1" applyAlignment="1">
      <alignment horizontal="center" vertical="center"/>
    </xf>
    <xf numFmtId="0" fontId="17" fillId="0" borderId="13" xfId="0" applyNumberFormat="1" applyFont="1" applyBorder="1" applyAlignment="1">
      <alignment horizontal="center" vertical="center"/>
    </xf>
    <xf numFmtId="0" fontId="17" fillId="0" borderId="70" xfId="0" applyNumberFormat="1" applyFont="1" applyBorder="1" applyAlignment="1">
      <alignment horizontal="center" vertical="center"/>
    </xf>
    <xf numFmtId="41" fontId="17" fillId="0" borderId="58" xfId="2" applyNumberFormat="1" applyFont="1" applyBorder="1" applyAlignment="1">
      <alignment horizontal="center" vertical="center"/>
    </xf>
    <xf numFmtId="41" fontId="17" fillId="2" borderId="58" xfId="4" applyNumberFormat="1" applyFont="1" applyFill="1" applyBorder="1" applyAlignment="1">
      <alignment horizontal="center" vertical="center"/>
    </xf>
    <xf numFmtId="178" fontId="17" fillId="0" borderId="58" xfId="2" applyNumberFormat="1" applyFont="1" applyBorder="1" applyAlignment="1">
      <alignment horizontal="right" vertical="center"/>
    </xf>
    <xf numFmtId="179" fontId="17" fillId="0" borderId="58" xfId="2" applyNumberFormat="1" applyFont="1" applyBorder="1" applyAlignment="1">
      <alignment vertical="center"/>
    </xf>
    <xf numFmtId="0" fontId="7" fillId="0" borderId="59" xfId="0" applyNumberFormat="1" applyFont="1" applyBorder="1" applyAlignment="1">
      <alignment horizontal="left" vertical="center"/>
    </xf>
    <xf numFmtId="41" fontId="7" fillId="0" borderId="60" xfId="2" applyNumberFormat="1" applyFont="1" applyBorder="1">
      <alignment vertical="center"/>
    </xf>
    <xf numFmtId="0" fontId="7" fillId="0" borderId="60" xfId="0" applyNumberFormat="1" applyFont="1" applyBorder="1">
      <alignment vertical="center"/>
    </xf>
    <xf numFmtId="0" fontId="7" fillId="0" borderId="60" xfId="0" applyNumberFormat="1" applyFont="1" applyBorder="1" applyAlignment="1">
      <alignment horizontal="center" vertical="center"/>
    </xf>
    <xf numFmtId="0" fontId="7" fillId="0" borderId="61" xfId="0" applyNumberFormat="1" applyFont="1" applyBorder="1">
      <alignment vertical="center"/>
    </xf>
    <xf numFmtId="0" fontId="16" fillId="0" borderId="10" xfId="0" applyNumberFormat="1" applyFont="1" applyBorder="1" applyAlignment="1">
      <alignment vertical="center" shrinkToFit="1"/>
    </xf>
    <xf numFmtId="41" fontId="8" fillId="0" borderId="62" xfId="2" applyNumberFormat="1" applyFont="1" applyFill="1" applyBorder="1" applyAlignment="1">
      <alignment horizontal="center" vertical="center"/>
    </xf>
    <xf numFmtId="41" fontId="18" fillId="2" borderId="62" xfId="4" applyNumberFormat="1" applyFont="1" applyFill="1" applyBorder="1" applyAlignment="1">
      <alignment horizontal="center" vertical="center"/>
    </xf>
    <xf numFmtId="178" fontId="8" fillId="0" borderId="62" xfId="2" applyNumberFormat="1" applyFont="1" applyBorder="1" applyAlignment="1">
      <alignment horizontal="right" vertical="center"/>
    </xf>
    <xf numFmtId="179" fontId="8" fillId="0" borderId="62" xfId="2" applyNumberFormat="1" applyFont="1" applyBorder="1" applyAlignment="1">
      <alignment vertical="center"/>
    </xf>
    <xf numFmtId="0" fontId="7" fillId="0" borderId="41" xfId="0" applyNumberFormat="1" applyFont="1" applyBorder="1" applyAlignment="1">
      <alignment horizontal="left" vertical="center"/>
    </xf>
    <xf numFmtId="0" fontId="16" fillId="0" borderId="4" xfId="0" applyNumberFormat="1" applyFont="1" applyBorder="1" applyAlignment="1">
      <alignment vertical="center" shrinkToFit="1"/>
    </xf>
    <xf numFmtId="41" fontId="8" fillId="0" borderId="56" xfId="4" applyNumberFormat="1" applyFont="1" applyFill="1" applyBorder="1" applyAlignment="1">
      <alignment horizontal="center" vertical="center" wrapText="1"/>
    </xf>
    <xf numFmtId="41" fontId="8" fillId="0" borderId="56" xfId="4" applyNumberFormat="1" applyFont="1" applyBorder="1" applyAlignment="1">
      <alignment horizontal="center" vertical="center" wrapText="1"/>
    </xf>
    <xf numFmtId="41" fontId="8" fillId="2" borderId="56" xfId="4" applyNumberFormat="1" applyFont="1" applyFill="1" applyBorder="1" applyAlignment="1">
      <alignment horizontal="center" vertical="center" wrapText="1"/>
    </xf>
    <xf numFmtId="178" fontId="8" fillId="0" borderId="56" xfId="4" applyNumberFormat="1" applyFont="1" applyBorder="1" applyAlignment="1">
      <alignment horizontal="right" vertical="center" wrapText="1"/>
    </xf>
    <xf numFmtId="179" fontId="8" fillId="0" borderId="56" xfId="4" applyNumberFormat="1" applyFont="1" applyBorder="1" applyAlignment="1">
      <alignment vertical="center" wrapText="1"/>
    </xf>
    <xf numFmtId="41" fontId="8" fillId="0" borderId="23" xfId="4" applyNumberFormat="1" applyFont="1" applyFill="1" applyBorder="1" applyAlignment="1">
      <alignment horizontal="center" vertical="center" wrapText="1"/>
    </xf>
    <xf numFmtId="41" fontId="8" fillId="0" borderId="23" xfId="4" applyNumberFormat="1" applyFont="1" applyBorder="1" applyAlignment="1">
      <alignment horizontal="center" vertical="center" wrapText="1"/>
    </xf>
    <xf numFmtId="41" fontId="8" fillId="2" borderId="23" xfId="4" applyNumberFormat="1" applyFont="1" applyFill="1" applyBorder="1" applyAlignment="1">
      <alignment horizontal="center" vertical="center" wrapText="1"/>
    </xf>
    <xf numFmtId="178" fontId="8" fillId="0" borderId="23" xfId="4" applyNumberFormat="1" applyFont="1" applyBorder="1" applyAlignment="1">
      <alignment horizontal="right" vertical="center" wrapText="1"/>
    </xf>
    <xf numFmtId="179" fontId="8" fillId="0" borderId="23" xfId="4" applyNumberFormat="1" applyFont="1" applyBorder="1" applyAlignment="1">
      <alignment vertical="center" wrapText="1"/>
    </xf>
    <xf numFmtId="0" fontId="7" fillId="0" borderId="42" xfId="0" applyNumberFormat="1" applyFont="1" applyBorder="1" applyAlignment="1">
      <alignment horizontal="center" vertical="center" wrapText="1"/>
    </xf>
    <xf numFmtId="41" fontId="8" fillId="0" borderId="48" xfId="4" applyNumberFormat="1" applyFont="1" applyFill="1" applyBorder="1" applyAlignment="1">
      <alignment horizontal="center" vertical="center" wrapText="1"/>
    </xf>
    <xf numFmtId="41" fontId="8" fillId="0" borderId="48" xfId="4" applyNumberFormat="1" applyFont="1" applyBorder="1" applyAlignment="1">
      <alignment horizontal="center" vertical="center" wrapText="1"/>
    </xf>
    <xf numFmtId="41" fontId="8" fillId="2" borderId="48" xfId="4" applyNumberFormat="1" applyFont="1" applyFill="1" applyBorder="1" applyAlignment="1">
      <alignment horizontal="center" vertical="center" wrapText="1"/>
    </xf>
    <xf numFmtId="178" fontId="8" fillId="0" borderId="48" xfId="4" applyNumberFormat="1" applyFont="1" applyBorder="1" applyAlignment="1">
      <alignment horizontal="right" vertical="center" wrapText="1"/>
    </xf>
    <xf numFmtId="179" fontId="8" fillId="0" borderId="48" xfId="4" applyNumberFormat="1" applyFont="1" applyBorder="1" applyAlignment="1">
      <alignment vertical="center" wrapText="1"/>
    </xf>
    <xf numFmtId="0" fontId="7" fillId="0" borderId="24" xfId="0" applyNumberFormat="1" applyFont="1" applyBorder="1" applyAlignment="1">
      <alignment horizontal="center" vertical="center" wrapText="1" shrinkToFit="1"/>
    </xf>
    <xf numFmtId="0" fontId="7" fillId="0" borderId="22" xfId="0" applyNumberFormat="1" applyFont="1" applyBorder="1" applyAlignment="1">
      <alignment horizontal="center" vertical="center" wrapText="1" shrinkToFit="1"/>
    </xf>
    <xf numFmtId="0" fontId="7" fillId="0" borderId="42" xfId="0" applyNumberFormat="1" applyFont="1" applyBorder="1" applyAlignment="1">
      <alignment horizontal="center" vertical="center" shrinkToFit="1"/>
    </xf>
    <xf numFmtId="0" fontId="7" fillId="0" borderId="29" xfId="0" applyNumberFormat="1" applyFont="1" applyBorder="1" applyAlignment="1">
      <alignment horizontal="left" vertical="center" shrinkToFit="1"/>
    </xf>
    <xf numFmtId="41" fontId="17" fillId="0" borderId="2" xfId="2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 shrinkToFit="1"/>
    </xf>
    <xf numFmtId="0" fontId="7" fillId="0" borderId="15" xfId="0" applyNumberFormat="1" applyFont="1" applyBorder="1" applyAlignment="1">
      <alignment horizontal="center" vertical="center" wrapText="1"/>
    </xf>
    <xf numFmtId="179" fontId="8" fillId="0" borderId="62" xfId="4" applyNumberFormat="1" applyFont="1" applyBorder="1" applyAlignment="1">
      <alignment vertical="center"/>
    </xf>
    <xf numFmtId="0" fontId="18" fillId="0" borderId="42" xfId="0" applyNumberFormat="1" applyFont="1" applyBorder="1" applyAlignment="1">
      <alignment horizontal="center" vertical="center" wrapText="1"/>
    </xf>
    <xf numFmtId="41" fontId="8" fillId="0" borderId="48" xfId="2" applyNumberFormat="1" applyFont="1" applyFill="1" applyBorder="1" applyAlignment="1">
      <alignment vertical="center"/>
    </xf>
    <xf numFmtId="41" fontId="8" fillId="0" borderId="48" xfId="2" applyNumberFormat="1" applyFont="1" applyBorder="1" applyAlignment="1">
      <alignment vertical="center"/>
    </xf>
    <xf numFmtId="41" fontId="8" fillId="2" borderId="48" xfId="4" applyNumberFormat="1" applyFont="1" applyFill="1" applyBorder="1" applyAlignment="1">
      <alignment vertical="center"/>
    </xf>
    <xf numFmtId="178" fontId="8" fillId="0" borderId="48" xfId="2" applyNumberFormat="1" applyFont="1" applyBorder="1" applyAlignment="1">
      <alignment horizontal="right" vertical="center"/>
    </xf>
    <xf numFmtId="0" fontId="7" fillId="0" borderId="63" xfId="0" applyNumberFormat="1" applyFont="1" applyBorder="1" applyAlignment="1">
      <alignment horizontal="left" vertical="center"/>
    </xf>
    <xf numFmtId="0" fontId="7" fillId="0" borderId="29" xfId="0" applyNumberFormat="1" applyFont="1" applyFill="1" applyBorder="1" applyAlignment="1">
      <alignment horizontal="left" vertical="center"/>
    </xf>
    <xf numFmtId="0" fontId="7" fillId="0" borderId="29" xfId="0" applyNumberFormat="1" applyFont="1" applyFill="1" applyBorder="1">
      <alignment vertical="center"/>
    </xf>
    <xf numFmtId="0" fontId="7" fillId="0" borderId="8" xfId="0" applyNumberFormat="1" applyFont="1" applyBorder="1" applyAlignment="1">
      <alignment horizontal="center" vertical="center"/>
    </xf>
    <xf numFmtId="179" fontId="8" fillId="0" borderId="23" xfId="4" applyNumberFormat="1" applyFont="1" applyBorder="1" applyAlignment="1">
      <alignment horizontal="right" vertical="center"/>
    </xf>
    <xf numFmtId="0" fontId="8" fillId="0" borderId="4" xfId="0" applyNumberFormat="1" applyFont="1" applyBorder="1" applyAlignment="1">
      <alignment horizontal="center" vertical="center" shrinkToFit="1"/>
    </xf>
    <xf numFmtId="41" fontId="8" fillId="0" borderId="40" xfId="2" applyNumberFormat="1" applyFont="1" applyBorder="1">
      <alignment vertical="center"/>
    </xf>
    <xf numFmtId="179" fontId="8" fillId="0" borderId="57" xfId="4" applyNumberFormat="1" applyFont="1" applyBorder="1" applyAlignment="1">
      <alignment vertical="center"/>
    </xf>
    <xf numFmtId="41" fontId="8" fillId="2" borderId="56" xfId="4" applyNumberFormat="1" applyFont="1" applyFill="1" applyBorder="1" applyAlignment="1">
      <alignment vertical="center"/>
    </xf>
    <xf numFmtId="179" fontId="8" fillId="0" borderId="17" xfId="4" applyNumberFormat="1" applyFont="1" applyBorder="1" applyAlignment="1">
      <alignment vertical="center"/>
    </xf>
    <xf numFmtId="179" fontId="8" fillId="0" borderId="30" xfId="4" applyNumberFormat="1" applyFont="1" applyBorder="1" applyAlignment="1">
      <alignment vertical="center"/>
    </xf>
    <xf numFmtId="178" fontId="7" fillId="0" borderId="29" xfId="4" applyNumberFormat="1" applyFont="1" applyBorder="1">
      <alignment vertical="center"/>
    </xf>
    <xf numFmtId="0" fontId="16" fillId="0" borderId="10" xfId="0" applyNumberFormat="1" applyFont="1" applyBorder="1" applyAlignment="1">
      <alignment horizontal="center" vertical="center" shrinkToFit="1"/>
    </xf>
    <xf numFmtId="179" fontId="8" fillId="0" borderId="23" xfId="4" applyNumberFormat="1" applyFont="1" applyBorder="1" applyAlignment="1">
      <alignment vertical="center" shrinkToFit="1"/>
    </xf>
    <xf numFmtId="41" fontId="7" fillId="0" borderId="25" xfId="4" applyNumberFormat="1" applyFont="1" applyBorder="1">
      <alignment vertical="center"/>
    </xf>
    <xf numFmtId="0" fontId="8" fillId="0" borderId="4" xfId="0" applyNumberFormat="1" applyFont="1" applyBorder="1" applyAlignment="1">
      <alignment horizontal="center" vertical="center" wrapText="1"/>
    </xf>
    <xf numFmtId="0" fontId="7" fillId="0" borderId="19" xfId="0" applyNumberFormat="1" applyFont="1" applyBorder="1" applyAlignment="1">
      <alignment horizontal="center" vertical="center" shrinkToFit="1"/>
    </xf>
    <xf numFmtId="0" fontId="8" fillId="0" borderId="56" xfId="0" applyNumberFormat="1" applyFont="1" applyBorder="1">
      <alignment vertical="center"/>
    </xf>
    <xf numFmtId="178" fontId="8" fillId="0" borderId="56" xfId="0" applyNumberFormat="1" applyFont="1" applyBorder="1" applyAlignment="1">
      <alignment horizontal="right" vertical="center"/>
    </xf>
    <xf numFmtId="0" fontId="7" fillId="0" borderId="57" xfId="0" applyNumberFormat="1" applyFont="1" applyBorder="1">
      <alignment vertical="center"/>
    </xf>
    <xf numFmtId="0" fontId="7" fillId="0" borderId="26" xfId="0" applyNumberFormat="1" applyFont="1" applyBorder="1" applyAlignment="1">
      <alignment horizontal="center" vertical="center" shrinkToFit="1"/>
    </xf>
    <xf numFmtId="0" fontId="8" fillId="0" borderId="23" xfId="0" applyNumberFormat="1" applyFont="1" applyBorder="1">
      <alignment vertical="center"/>
    </xf>
    <xf numFmtId="178" fontId="8" fillId="0" borderId="23" xfId="0" applyNumberFormat="1" applyFont="1" applyBorder="1" applyAlignment="1">
      <alignment horizontal="right" vertical="center"/>
    </xf>
    <xf numFmtId="0" fontId="7" fillId="0" borderId="15" xfId="0" applyNumberFormat="1" applyFont="1" applyBorder="1" applyAlignment="1">
      <alignment horizontal="center" vertical="center" shrinkToFit="1"/>
    </xf>
    <xf numFmtId="178" fontId="8" fillId="0" borderId="48" xfId="0" applyNumberFormat="1" applyFont="1" applyBorder="1" applyAlignment="1">
      <alignment horizontal="right" vertical="center"/>
    </xf>
    <xf numFmtId="0" fontId="10" fillId="0" borderId="29" xfId="0" applyNumberFormat="1" applyFont="1" applyBorder="1" applyAlignment="1">
      <alignment horizontal="left" vertical="center"/>
    </xf>
    <xf numFmtId="41" fontId="17" fillId="0" borderId="17" xfId="2" applyNumberFormat="1" applyFont="1" applyBorder="1" applyAlignment="1">
      <alignment horizontal="center" vertical="center"/>
    </xf>
    <xf numFmtId="179" fontId="8" fillId="0" borderId="48" xfId="2" applyNumberFormat="1" applyFont="1" applyBorder="1" applyAlignment="1">
      <alignment vertical="center"/>
    </xf>
    <xf numFmtId="0" fontId="16" fillId="0" borderId="22" xfId="0" applyNumberFormat="1" applyFont="1" applyBorder="1" applyAlignment="1">
      <alignment horizontal="left" vertical="center"/>
    </xf>
    <xf numFmtId="41" fontId="16" fillId="0" borderId="0" xfId="4" applyNumberFormat="1" applyFont="1" applyBorder="1">
      <alignment vertical="center"/>
    </xf>
    <xf numFmtId="0" fontId="16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/>
    </xf>
    <xf numFmtId="0" fontId="16" fillId="0" borderId="17" xfId="0" applyNumberFormat="1" applyFont="1" applyBorder="1" applyAlignment="1">
      <alignment horizontal="left" vertical="center"/>
    </xf>
    <xf numFmtId="41" fontId="8" fillId="0" borderId="17" xfId="2" applyNumberFormat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left" vertical="center" wrapText="1"/>
    </xf>
    <xf numFmtId="0" fontId="7" fillId="0" borderId="30" xfId="0" applyNumberFormat="1" applyFont="1" applyBorder="1" applyAlignment="1">
      <alignment horizontal="left" vertical="center" wrapText="1"/>
    </xf>
    <xf numFmtId="178" fontId="8" fillId="0" borderId="63" xfId="4" applyNumberFormat="1" applyFont="1" applyBorder="1" applyAlignment="1">
      <alignment horizontal="right" vertical="center"/>
    </xf>
    <xf numFmtId="0" fontId="17" fillId="0" borderId="17" xfId="0" applyNumberFormat="1" applyFont="1" applyBorder="1">
      <alignment vertical="center"/>
    </xf>
    <xf numFmtId="41" fontId="8" fillId="0" borderId="56" xfId="2" applyNumberFormat="1" applyFont="1" applyFill="1" applyBorder="1" applyAlignment="1">
      <alignment horizontal="center" vertical="center"/>
    </xf>
    <xf numFmtId="41" fontId="8" fillId="0" borderId="56" xfId="2" applyNumberFormat="1" applyFont="1" applyBorder="1" applyAlignment="1">
      <alignment horizontal="center" vertical="center"/>
    </xf>
    <xf numFmtId="178" fontId="8" fillId="0" borderId="56" xfId="2" applyNumberFormat="1" applyFont="1" applyBorder="1" applyAlignment="1">
      <alignment horizontal="right" vertical="center"/>
    </xf>
    <xf numFmtId="179" fontId="8" fillId="0" borderId="56" xfId="2" applyNumberFormat="1" applyFont="1" applyBorder="1" applyAlignment="1">
      <alignment vertical="center"/>
    </xf>
    <xf numFmtId="0" fontId="16" fillId="0" borderId="9" xfId="0" applyNumberFormat="1" applyFont="1" applyBorder="1" applyAlignment="1">
      <alignment horizontal="center" vertical="center" wrapText="1"/>
    </xf>
    <xf numFmtId="0" fontId="16" fillId="0" borderId="1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left" vertical="top" wrapText="1"/>
    </xf>
    <xf numFmtId="0" fontId="7" fillId="0" borderId="8" xfId="0" applyNumberFormat="1" applyFont="1" applyBorder="1" applyAlignment="1">
      <alignment horizontal="center" vertical="center"/>
    </xf>
    <xf numFmtId="41" fontId="8" fillId="0" borderId="62" xfId="2" applyNumberFormat="1" applyFont="1" applyBorder="1" applyAlignment="1">
      <alignment horizontal="center" vertical="center"/>
    </xf>
    <xf numFmtId="41" fontId="16" fillId="0" borderId="41" xfId="2" applyNumberFormat="1" applyFont="1" applyBorder="1">
      <alignment vertical="center"/>
    </xf>
    <xf numFmtId="0" fontId="7" fillId="0" borderId="30" xfId="0" applyNumberFormat="1" applyFont="1" applyFill="1" applyBorder="1" applyAlignment="1">
      <alignment vertical="center"/>
    </xf>
    <xf numFmtId="178" fontId="8" fillId="0" borderId="62" xfId="0" applyNumberFormat="1" applyFont="1" applyBorder="1" applyAlignment="1">
      <alignment horizontal="right" vertical="center"/>
    </xf>
    <xf numFmtId="178" fontId="8" fillId="2" borderId="62" xfId="0" applyNumberFormat="1" applyFont="1" applyFill="1" applyBorder="1" applyAlignment="1">
      <alignment horizontal="right" vertical="center"/>
    </xf>
    <xf numFmtId="0" fontId="17" fillId="0" borderId="10" xfId="0" applyNumberFormat="1" applyFont="1" applyFill="1" applyBorder="1" applyAlignment="1">
      <alignment horizontal="center" vertical="center" shrinkToFit="1"/>
    </xf>
    <xf numFmtId="41" fontId="8" fillId="2" borderId="63" xfId="4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>
      <alignment vertical="center"/>
    </xf>
    <xf numFmtId="0" fontId="8" fillId="0" borderId="4" xfId="0" applyNumberFormat="1" applyFont="1" applyBorder="1">
      <alignment vertical="center"/>
    </xf>
    <xf numFmtId="0" fontId="7" fillId="0" borderId="17" xfId="0" applyNumberFormat="1" applyFont="1" applyFill="1" applyBorder="1" applyAlignment="1">
      <alignment horizontal="left" vertical="center" wrapText="1"/>
    </xf>
    <xf numFmtId="0" fontId="8" fillId="0" borderId="3" xfId="0" applyNumberFormat="1" applyFont="1" applyFill="1" applyBorder="1" applyAlignment="1">
      <alignment horizontal="center" vertical="center"/>
    </xf>
    <xf numFmtId="0" fontId="7" fillId="0" borderId="29" xfId="0" applyNumberFormat="1" applyFont="1" applyFill="1" applyBorder="1" applyAlignment="1">
      <alignment horizontal="left" vertical="center" wrapText="1"/>
    </xf>
    <xf numFmtId="0" fontId="7" fillId="0" borderId="15" xfId="0" applyNumberFormat="1" applyFont="1" applyBorder="1" applyAlignment="1">
      <alignment horizontal="center" vertical="center" wrapText="1"/>
    </xf>
    <xf numFmtId="41" fontId="8" fillId="0" borderId="23" xfId="2" applyNumberFormat="1" applyFont="1" applyFill="1" applyBorder="1" applyAlignment="1">
      <alignment horizontal="center" vertical="center"/>
    </xf>
    <xf numFmtId="41" fontId="8" fillId="0" borderId="23" xfId="2" applyNumberFormat="1" applyFont="1" applyBorder="1" applyAlignment="1">
      <alignment horizontal="center" vertical="center"/>
    </xf>
    <xf numFmtId="178" fontId="8" fillId="0" borderId="23" xfId="2" applyNumberFormat="1" applyFont="1" applyBorder="1" applyAlignment="1">
      <alignment horizontal="right" vertical="center"/>
    </xf>
    <xf numFmtId="179" fontId="8" fillId="0" borderId="23" xfId="2" applyNumberFormat="1" applyFont="1" applyBorder="1" applyAlignment="1">
      <alignment vertical="center"/>
    </xf>
    <xf numFmtId="0" fontId="8" fillId="0" borderId="4" xfId="0" applyNumberFormat="1" applyFont="1" applyBorder="1" applyAlignment="1">
      <alignment vertical="center"/>
    </xf>
    <xf numFmtId="0" fontId="7" fillId="0" borderId="57" xfId="0" applyNumberFormat="1" applyFont="1" applyFill="1" applyBorder="1" applyAlignment="1">
      <alignment horizontal="left" vertical="center"/>
    </xf>
    <xf numFmtId="0" fontId="8" fillId="0" borderId="23" xfId="0" applyNumberFormat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center" vertical="center"/>
    </xf>
    <xf numFmtId="179" fontId="8" fillId="0" borderId="23" xfId="0" applyNumberFormat="1" applyFont="1" applyBorder="1" applyAlignment="1">
      <alignment vertical="center"/>
    </xf>
    <xf numFmtId="0" fontId="7" fillId="0" borderId="17" xfId="0" applyNumberFormat="1" applyFont="1" applyFill="1" applyBorder="1" applyAlignment="1">
      <alignment horizontal="left" vertical="center" shrinkToFit="1"/>
    </xf>
    <xf numFmtId="0" fontId="17" fillId="0" borderId="22" xfId="0" applyNumberFormat="1" applyFont="1" applyBorder="1" applyAlignment="1">
      <alignment horizontal="center" vertical="center" shrinkToFit="1"/>
    </xf>
    <xf numFmtId="0" fontId="7" fillId="0" borderId="57" xfId="0" applyNumberFormat="1" applyFont="1" applyBorder="1" applyAlignment="1">
      <alignment horizontal="left" vertical="center"/>
    </xf>
    <xf numFmtId="0" fontId="7" fillId="0" borderId="37" xfId="0" applyNumberFormat="1" applyFont="1" applyBorder="1" applyAlignment="1">
      <alignment horizontal="left" vertical="center"/>
    </xf>
    <xf numFmtId="0" fontId="17" fillId="0" borderId="25" xfId="0" applyNumberFormat="1" applyFont="1" applyBorder="1" applyAlignment="1">
      <alignment horizontal="center" vertical="center"/>
    </xf>
    <xf numFmtId="179" fontId="17" fillId="0" borderId="62" xfId="2" applyNumberFormat="1" applyFont="1" applyBorder="1" applyAlignment="1">
      <alignment vertical="center"/>
    </xf>
    <xf numFmtId="41" fontId="17" fillId="0" borderId="11" xfId="2" applyNumberFormat="1" applyFont="1" applyBorder="1" applyAlignment="1">
      <alignment horizontal="center" vertical="center"/>
    </xf>
    <xf numFmtId="41" fontId="17" fillId="0" borderId="62" xfId="2" applyNumberFormat="1" applyFont="1" applyFill="1" applyBorder="1" applyAlignment="1">
      <alignment horizontal="center" vertical="center"/>
    </xf>
    <xf numFmtId="41" fontId="17" fillId="2" borderId="62" xfId="4" applyNumberFormat="1" applyFont="1" applyFill="1" applyBorder="1" applyAlignment="1">
      <alignment horizontal="center" vertical="center"/>
    </xf>
    <xf numFmtId="178" fontId="17" fillId="0" borderId="62" xfId="2" applyNumberFormat="1" applyFont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41" fontId="8" fillId="0" borderId="62" xfId="2" applyNumberFormat="1" applyFont="1" applyBorder="1">
      <alignment vertical="center"/>
    </xf>
    <xf numFmtId="41" fontId="8" fillId="2" borderId="62" xfId="2" applyNumberFormat="1" applyFont="1" applyFill="1" applyBorder="1" applyAlignment="1">
      <alignment horizontal="center" vertical="center"/>
    </xf>
    <xf numFmtId="0" fontId="7" fillId="0" borderId="17" xfId="6" applyNumberFormat="1" applyFont="1" applyBorder="1" applyAlignment="1">
      <alignment horizontal="left" vertical="center"/>
    </xf>
    <xf numFmtId="0" fontId="7" fillId="0" borderId="37" xfId="6" applyNumberFormat="1" applyFont="1" applyBorder="1">
      <alignment vertical="center"/>
    </xf>
    <xf numFmtId="0" fontId="9" fillId="0" borderId="37" xfId="6" applyNumberFormat="1" applyFont="1" applyBorder="1" applyAlignment="1">
      <alignment horizontal="center" vertical="center"/>
    </xf>
    <xf numFmtId="0" fontId="7" fillId="0" borderId="37" xfId="6" applyNumberFormat="1" applyFont="1" applyBorder="1" applyAlignment="1">
      <alignment horizontal="center" vertical="center"/>
    </xf>
    <xf numFmtId="0" fontId="7" fillId="0" borderId="37" xfId="6" quotePrefix="1" applyNumberFormat="1" applyFont="1" applyBorder="1" applyAlignment="1">
      <alignment horizontal="center" vertical="center"/>
    </xf>
    <xf numFmtId="0" fontId="7" fillId="0" borderId="38" xfId="6" applyNumberFormat="1" applyFont="1" applyBorder="1">
      <alignment vertical="center"/>
    </xf>
    <xf numFmtId="0" fontId="7" fillId="0" borderId="7" xfId="0" applyNumberFormat="1" applyFont="1" applyFill="1" applyBorder="1" applyAlignment="1">
      <alignment horizontal="center" vertical="center" shrinkToFit="1"/>
    </xf>
    <xf numFmtId="0" fontId="7" fillId="0" borderId="0" xfId="6" applyNumberFormat="1" applyFont="1" applyBorder="1">
      <alignment vertical="center"/>
    </xf>
    <xf numFmtId="0" fontId="9" fillId="0" borderId="0" xfId="6" applyNumberFormat="1" applyFont="1" applyBorder="1" applyAlignment="1">
      <alignment horizontal="center" vertical="center"/>
    </xf>
    <xf numFmtId="0" fontId="7" fillId="0" borderId="0" xfId="6" applyNumberFormat="1" applyFont="1" applyBorder="1" applyAlignment="1">
      <alignment horizontal="center" vertical="center"/>
    </xf>
    <xf numFmtId="0" fontId="7" fillId="0" borderId="0" xfId="6" quotePrefix="1" applyNumberFormat="1" applyFont="1" applyBorder="1" applyAlignment="1">
      <alignment horizontal="center" vertical="center"/>
    </xf>
    <xf numFmtId="0" fontId="7" fillId="0" borderId="28" xfId="6" applyNumberFormat="1" applyFont="1" applyBorder="1">
      <alignment vertical="center"/>
    </xf>
    <xf numFmtId="0" fontId="7" fillId="0" borderId="15" xfId="0" applyNumberFormat="1" applyFont="1" applyFill="1" applyBorder="1" applyAlignment="1">
      <alignment horizontal="center" vertical="center"/>
    </xf>
    <xf numFmtId="41" fontId="8" fillId="0" borderId="48" xfId="2" applyNumberFormat="1" applyFont="1" applyBorder="1">
      <alignment vertical="center"/>
    </xf>
    <xf numFmtId="41" fontId="8" fillId="0" borderId="48" xfId="2" applyNumberFormat="1" applyFont="1" applyFill="1" applyBorder="1" applyAlignment="1">
      <alignment horizontal="center" vertical="center"/>
    </xf>
    <xf numFmtId="41" fontId="8" fillId="2" borderId="48" xfId="2" applyNumberFormat="1" applyFont="1" applyFill="1" applyBorder="1" applyAlignment="1">
      <alignment horizontal="center" vertical="center"/>
    </xf>
    <xf numFmtId="41" fontId="8" fillId="0" borderId="0" xfId="2" applyNumberFormat="1" applyFont="1" applyFill="1">
      <alignment vertical="center"/>
    </xf>
    <xf numFmtId="0" fontId="7" fillId="0" borderId="20" xfId="6" applyNumberFormat="1" applyFont="1" applyBorder="1">
      <alignment vertical="center"/>
    </xf>
    <xf numFmtId="0" fontId="7" fillId="0" borderId="15" xfId="0" applyNumberFormat="1" applyFont="1" applyFill="1" applyBorder="1" applyAlignment="1">
      <alignment horizontal="center" vertical="center" shrinkToFit="1"/>
    </xf>
    <xf numFmtId="0" fontId="7" fillId="0" borderId="17" xfId="6" applyNumberFormat="1" applyFont="1" applyBorder="1" applyAlignment="1">
      <alignment horizontal="left" vertical="center" shrinkToFit="1"/>
    </xf>
    <xf numFmtId="0" fontId="7" fillId="0" borderId="19" xfId="0" applyNumberFormat="1" applyFont="1" applyFill="1" applyBorder="1" applyAlignment="1">
      <alignment horizontal="center" vertical="center"/>
    </xf>
    <xf numFmtId="41" fontId="8" fillId="2" borderId="56" xfId="2" applyNumberFormat="1" applyFont="1" applyFill="1" applyBorder="1" applyAlignment="1">
      <alignment horizontal="center" vertical="center"/>
    </xf>
    <xf numFmtId="0" fontId="7" fillId="0" borderId="26" xfId="0" applyNumberFormat="1" applyFont="1" applyFill="1" applyBorder="1" applyAlignment="1">
      <alignment horizontal="center" vertical="center"/>
    </xf>
    <xf numFmtId="41" fontId="8" fillId="2" borderId="23" xfId="2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horizontal="center" vertical="center" shrinkToFit="1"/>
    </xf>
    <xf numFmtId="41" fontId="8" fillId="0" borderId="0" xfId="2" applyNumberFormat="1" applyFont="1" applyFill="1" applyAlignment="1">
      <alignment vertical="center"/>
    </xf>
    <xf numFmtId="0" fontId="10" fillId="0" borderId="7" xfId="0" applyNumberFormat="1" applyFont="1" applyFill="1" applyBorder="1" applyAlignment="1">
      <alignment horizontal="center" vertical="center"/>
    </xf>
    <xf numFmtId="0" fontId="10" fillId="0" borderId="15" xfId="0" applyNumberFormat="1" applyFont="1" applyFill="1" applyBorder="1" applyAlignment="1">
      <alignment horizontal="center" vertical="center" shrinkToFit="1"/>
    </xf>
    <xf numFmtId="0" fontId="7" fillId="0" borderId="30" xfId="6" applyNumberFormat="1" applyFont="1" applyBorder="1" applyAlignment="1">
      <alignment horizontal="left" vertical="center"/>
    </xf>
    <xf numFmtId="0" fontId="7" fillId="0" borderId="29" xfId="6" applyNumberFormat="1" applyFont="1" applyBorder="1">
      <alignment vertical="center"/>
    </xf>
    <xf numFmtId="0" fontId="9" fillId="0" borderId="29" xfId="6" applyNumberFormat="1" applyFont="1" applyBorder="1" applyAlignment="1">
      <alignment horizontal="center" vertical="center"/>
    </xf>
    <xf numFmtId="0" fontId="7" fillId="0" borderId="29" xfId="6" applyNumberFormat="1" applyFont="1" applyBorder="1" applyAlignment="1">
      <alignment horizontal="center" vertical="center"/>
    </xf>
    <xf numFmtId="0" fontId="7" fillId="0" borderId="29" xfId="6" quotePrefix="1" applyNumberFormat="1" applyFont="1" applyBorder="1" applyAlignment="1">
      <alignment horizontal="center" vertical="center"/>
    </xf>
    <xf numFmtId="179" fontId="7" fillId="0" borderId="62" xfId="2" applyNumberFormat="1" applyFont="1" applyBorder="1" applyAlignment="1">
      <alignment horizontal="right" vertical="center"/>
    </xf>
    <xf numFmtId="0" fontId="10" fillId="0" borderId="26" xfId="0" applyNumberFormat="1" applyFont="1" applyFill="1" applyBorder="1" applyAlignment="1">
      <alignment horizontal="center" vertical="center" shrinkToFit="1"/>
    </xf>
    <xf numFmtId="0" fontId="7" fillId="0" borderId="26" xfId="0" applyNumberFormat="1" applyFont="1" applyFill="1" applyBorder="1" applyAlignment="1">
      <alignment horizontal="center" vertical="center" shrinkToFit="1"/>
    </xf>
    <xf numFmtId="178" fontId="8" fillId="0" borderId="56" xfId="2" applyNumberFormat="1" applyFont="1" applyFill="1" applyBorder="1" applyAlignment="1">
      <alignment horizontal="right" vertical="center"/>
    </xf>
    <xf numFmtId="41" fontId="17" fillId="0" borderId="62" xfId="2" applyNumberFormat="1" applyFont="1" applyFill="1" applyBorder="1" applyAlignment="1">
      <alignment vertical="center" wrapText="1"/>
    </xf>
    <xf numFmtId="178" fontId="17" fillId="0" borderId="56" xfId="2" applyNumberFormat="1" applyFont="1" applyFill="1" applyBorder="1" applyAlignment="1">
      <alignment vertical="center" wrapText="1"/>
    </xf>
    <xf numFmtId="41" fontId="17" fillId="0" borderId="56" xfId="2" applyNumberFormat="1" applyFont="1" applyFill="1" applyBorder="1" applyAlignment="1">
      <alignment vertical="center" wrapText="1"/>
    </xf>
    <xf numFmtId="178" fontId="17" fillId="0" borderId="56" xfId="2" applyNumberFormat="1" applyFont="1" applyBorder="1" applyAlignment="1">
      <alignment horizontal="right" vertical="center" wrapText="1"/>
    </xf>
    <xf numFmtId="179" fontId="17" fillId="0" borderId="56" xfId="2" applyNumberFormat="1" applyFont="1" applyBorder="1" applyAlignment="1">
      <alignment vertical="center" wrapText="1"/>
    </xf>
    <xf numFmtId="0" fontId="17" fillId="0" borderId="10" xfId="0" applyNumberFormat="1" applyFont="1" applyBorder="1" applyAlignment="1">
      <alignment horizontal="center" vertical="top" wrapText="1"/>
    </xf>
    <xf numFmtId="41" fontId="8" fillId="0" borderId="56" xfId="2" applyNumberFormat="1" applyFont="1" applyFill="1" applyBorder="1" applyAlignment="1">
      <alignment horizontal="center" vertical="center" wrapText="1"/>
    </xf>
    <xf numFmtId="178" fontId="8" fillId="0" borderId="56" xfId="2" applyNumberFormat="1" applyFont="1" applyFill="1" applyBorder="1" applyAlignment="1">
      <alignment horizontal="right" vertical="center"/>
    </xf>
    <xf numFmtId="41" fontId="8" fillId="0" borderId="56" xfId="2" applyNumberFormat="1" applyFont="1" applyFill="1" applyBorder="1" applyAlignment="1">
      <alignment vertical="center"/>
    </xf>
    <xf numFmtId="0" fontId="17" fillId="0" borderId="4" xfId="0" applyNumberFormat="1" applyFont="1" applyBorder="1" applyAlignment="1">
      <alignment horizontal="center" vertical="top" wrapText="1"/>
    </xf>
    <xf numFmtId="41" fontId="8" fillId="0" borderId="23" xfId="2" applyNumberFormat="1" applyFont="1" applyFill="1" applyBorder="1" applyAlignment="1">
      <alignment horizontal="center" vertical="center" wrapText="1"/>
    </xf>
    <xf numFmtId="178" fontId="8" fillId="0" borderId="23" xfId="2" applyNumberFormat="1" applyFont="1" applyFill="1" applyBorder="1" applyAlignment="1">
      <alignment horizontal="right" vertical="center"/>
    </xf>
    <xf numFmtId="0" fontId="7" fillId="0" borderId="17" xfId="0" applyNumberFormat="1" applyFont="1" applyBorder="1" applyAlignment="1">
      <alignment vertical="center" wrapText="1"/>
    </xf>
    <xf numFmtId="41" fontId="8" fillId="0" borderId="23" xfId="2" applyNumberFormat="1" applyFont="1" applyFill="1" applyBorder="1" applyAlignment="1">
      <alignment vertical="center"/>
    </xf>
    <xf numFmtId="0" fontId="7" fillId="0" borderId="22" xfId="0" applyNumberFormat="1" applyFont="1" applyBorder="1" applyAlignment="1">
      <alignment vertical="center" wrapText="1"/>
    </xf>
    <xf numFmtId="41" fontId="8" fillId="0" borderId="48" xfId="2" applyNumberFormat="1" applyFont="1" applyFill="1" applyBorder="1" applyAlignment="1">
      <alignment horizontal="center" vertical="center" wrapText="1"/>
    </xf>
    <xf numFmtId="178" fontId="8" fillId="0" borderId="48" xfId="2" applyNumberFormat="1" applyFont="1" applyFill="1" applyBorder="1" applyAlignment="1">
      <alignment horizontal="right" vertical="center"/>
    </xf>
    <xf numFmtId="0" fontId="7" fillId="0" borderId="42" xfId="0" applyNumberFormat="1" applyFont="1" applyBorder="1" applyAlignment="1">
      <alignment vertical="center" wrapText="1"/>
    </xf>
    <xf numFmtId="41" fontId="7" fillId="0" borderId="29" xfId="2" applyNumberFormat="1" applyFont="1" applyBorder="1" applyAlignment="1">
      <alignment vertical="center" shrinkToFit="1"/>
    </xf>
    <xf numFmtId="41" fontId="8" fillId="0" borderId="38" xfId="2" applyNumberFormat="1" applyFont="1" applyFill="1" applyBorder="1" applyAlignment="1">
      <alignment vertical="center"/>
    </xf>
    <xf numFmtId="41" fontId="8" fillId="0" borderId="28" xfId="2" applyNumberFormat="1" applyFont="1" applyFill="1" applyBorder="1" applyAlignment="1">
      <alignment vertical="center"/>
    </xf>
    <xf numFmtId="41" fontId="8" fillId="0" borderId="12" xfId="2" applyNumberFormat="1" applyFont="1" applyBorder="1" applyAlignment="1">
      <alignment horizontal="center" vertical="center"/>
    </xf>
    <xf numFmtId="0" fontId="17" fillId="0" borderId="14" xfId="0" applyNumberFormat="1" applyFont="1" applyBorder="1" applyAlignment="1">
      <alignment horizontal="center" vertical="top" wrapText="1"/>
    </xf>
    <xf numFmtId="0" fontId="7" fillId="0" borderId="67" xfId="0" applyNumberFormat="1" applyFont="1" applyBorder="1" applyAlignment="1">
      <alignment horizontal="center" vertical="center" wrapText="1"/>
    </xf>
    <xf numFmtId="178" fontId="8" fillId="0" borderId="65" xfId="2" applyNumberFormat="1" applyFont="1" applyFill="1" applyBorder="1" applyAlignment="1">
      <alignment horizontal="right" vertical="center"/>
    </xf>
    <xf numFmtId="41" fontId="8" fillId="0" borderId="65" xfId="2" applyNumberFormat="1" applyFont="1" applyFill="1" applyBorder="1" applyAlignment="1">
      <alignment horizontal="center" vertical="center"/>
    </xf>
    <xf numFmtId="41" fontId="8" fillId="0" borderId="43" xfId="2" applyNumberFormat="1" applyFont="1" applyFill="1" applyBorder="1" applyAlignment="1">
      <alignment vertical="center"/>
    </xf>
    <xf numFmtId="178" fontId="8" fillId="0" borderId="65" xfId="2" applyNumberFormat="1" applyFont="1" applyBorder="1" applyAlignment="1">
      <alignment horizontal="right" vertical="center"/>
    </xf>
    <xf numFmtId="179" fontId="8" fillId="0" borderId="65" xfId="2" applyNumberFormat="1" applyFont="1" applyBorder="1" applyAlignment="1">
      <alignment horizontal="right" vertical="center"/>
    </xf>
    <xf numFmtId="0" fontId="7" fillId="0" borderId="64" xfId="0" applyNumberFormat="1" applyFont="1" applyBorder="1" applyAlignment="1">
      <alignment horizontal="left" vertical="center" shrinkToFit="1"/>
    </xf>
    <xf numFmtId="41" fontId="7" fillId="0" borderId="6" xfId="4" applyNumberFormat="1" applyFont="1" applyBorder="1">
      <alignment vertical="center"/>
    </xf>
    <xf numFmtId="0" fontId="7" fillId="0" borderId="6" xfId="0" applyNumberFormat="1" applyFont="1" applyBorder="1">
      <alignment vertical="center"/>
    </xf>
    <xf numFmtId="41" fontId="7" fillId="0" borderId="6" xfId="0" applyNumberFormat="1" applyFont="1" applyBorder="1">
      <alignment vertical="center"/>
    </xf>
    <xf numFmtId="41" fontId="8" fillId="0" borderId="0" xfId="2" applyNumberFormat="1" applyFont="1" applyBorder="1" applyAlignment="1">
      <alignment horizontal="center" vertical="center"/>
    </xf>
    <xf numFmtId="0" fontId="17" fillId="0" borderId="0" xfId="0" applyNumberFormat="1" applyFont="1" applyBorder="1" applyAlignment="1">
      <alignment horizontal="center" vertical="top" wrapText="1"/>
    </xf>
    <xf numFmtId="0" fontId="7" fillId="0" borderId="0" xfId="0" applyNumberFormat="1" applyFont="1" applyBorder="1" applyAlignment="1">
      <alignment horizontal="center" vertical="center" wrapText="1"/>
    </xf>
    <xf numFmtId="178" fontId="8" fillId="0" borderId="0" xfId="2" applyNumberFormat="1" applyFont="1" applyFill="1" applyBorder="1" applyAlignment="1">
      <alignment horizontal="right" vertical="center"/>
    </xf>
    <xf numFmtId="41" fontId="8" fillId="0" borderId="0" xfId="2" applyNumberFormat="1" applyFont="1" applyFill="1" applyBorder="1" applyAlignment="1">
      <alignment horizontal="center" vertical="center"/>
    </xf>
    <xf numFmtId="41" fontId="8" fillId="0" borderId="0" xfId="2" applyNumberFormat="1" applyFont="1" applyFill="1" applyBorder="1" applyAlignment="1">
      <alignment vertical="center"/>
    </xf>
    <xf numFmtId="178" fontId="8" fillId="0" borderId="0" xfId="2" applyNumberFormat="1" applyFont="1" applyBorder="1" applyAlignment="1">
      <alignment horizontal="right" vertical="center"/>
    </xf>
    <xf numFmtId="179" fontId="8" fillId="0" borderId="0" xfId="2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center" vertical="center"/>
    </xf>
    <xf numFmtId="179" fontId="8" fillId="0" borderId="0" xfId="2" applyNumberFormat="1" applyFont="1" applyBorder="1" applyAlignment="1">
      <alignment vertical="center"/>
    </xf>
    <xf numFmtId="41" fontId="8" fillId="0" borderId="0" xfId="0" applyNumberFormat="1" applyFont="1" applyBorder="1" applyAlignment="1">
      <alignment horizontal="left" vertical="center"/>
    </xf>
    <xf numFmtId="43" fontId="7" fillId="0" borderId="0" xfId="0" applyNumberFormat="1" applyFont="1" applyBorder="1" applyAlignment="1">
      <alignment horizontal="left" vertical="center"/>
    </xf>
    <xf numFmtId="41" fontId="10" fillId="0" borderId="0" xfId="0" applyNumberFormat="1" applyFont="1" applyAlignment="1">
      <alignment horizontal="left" vertical="center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3"/>
  <sheetViews>
    <sheetView topLeftCell="A7" zoomScaleNormal="100" zoomScaleSheetLayoutView="75" workbookViewId="0">
      <selection activeCell="J10" sqref="J10:K10"/>
    </sheetView>
  </sheetViews>
  <sheetFormatPr defaultColWidth="9" defaultRowHeight="16.5"/>
  <cols>
    <col min="1" max="1" width="9.625" style="1" customWidth="1"/>
    <col min="2" max="2" width="6.375" style="1" customWidth="1"/>
    <col min="3" max="3" width="6" style="1" customWidth="1"/>
    <col min="4" max="4" width="11.375" style="1" customWidth="1"/>
    <col min="5" max="5" width="5.375" style="1" customWidth="1"/>
    <col min="6" max="6" width="6.125" style="1" customWidth="1"/>
    <col min="7" max="8" width="6.875" style="1" customWidth="1"/>
    <col min="9" max="9" width="16.375" style="1" customWidth="1"/>
    <col min="10" max="10" width="9.125" style="1" customWidth="1"/>
    <col min="11" max="11" width="5.125" style="1" customWidth="1"/>
    <col min="12" max="12" width="9.75" style="1" customWidth="1"/>
  </cols>
  <sheetData>
    <row r="1" spans="1:16" ht="29.25" customHeight="1"/>
    <row r="2" spans="1:16" ht="51" customHeight="1">
      <c r="A2" s="81" t="s">
        <v>477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</row>
    <row r="3" spans="1:16">
      <c r="B3" s="2"/>
    </row>
    <row r="4" spans="1:16">
      <c r="B4" s="8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6" ht="21.75" customHeight="1">
      <c r="B5" s="5" t="s">
        <v>77</v>
      </c>
      <c r="C5" s="82" t="s">
        <v>485</v>
      </c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16" ht="21.75" customHeight="1">
      <c r="B6" s="5"/>
      <c r="C6" s="83" t="s">
        <v>486</v>
      </c>
      <c r="D6" s="83"/>
      <c r="E6" s="83"/>
      <c r="F6" s="83"/>
      <c r="G6" s="83"/>
      <c r="H6" s="83"/>
      <c r="I6" s="83"/>
      <c r="J6" s="83"/>
      <c r="K6" s="83"/>
      <c r="L6" s="83"/>
      <c r="M6" s="4"/>
      <c r="N6" s="4"/>
      <c r="O6" s="4"/>
    </row>
    <row r="7" spans="1:16" ht="21.75" customHeight="1">
      <c r="B7" s="5"/>
      <c r="C7" s="82" t="s">
        <v>330</v>
      </c>
      <c r="D7" s="82"/>
      <c r="E7" s="85" t="s">
        <v>330</v>
      </c>
      <c r="F7" s="85"/>
      <c r="G7" s="82"/>
      <c r="H7" s="82"/>
      <c r="I7" s="82"/>
      <c r="J7" s="82"/>
      <c r="K7" s="82"/>
      <c r="L7" s="82"/>
      <c r="M7" s="4"/>
      <c r="N7" s="4"/>
      <c r="O7" s="4"/>
    </row>
    <row r="8" spans="1:16" ht="21.75" customHeight="1">
      <c r="B8" s="5" t="s">
        <v>2</v>
      </c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  <c r="O8" s="4"/>
    </row>
    <row r="9" spans="1:16" ht="21.75" customHeight="1">
      <c r="B9" s="5"/>
      <c r="C9" s="5" t="s">
        <v>475</v>
      </c>
      <c r="D9" s="6"/>
      <c r="E9" s="6"/>
      <c r="F9" s="6"/>
      <c r="G9" s="6"/>
      <c r="H9" s="6"/>
      <c r="I9" s="6"/>
      <c r="J9" s="6"/>
      <c r="K9" s="6"/>
      <c r="L9" s="6"/>
      <c r="M9" s="4"/>
      <c r="N9" s="4"/>
      <c r="O9" s="4"/>
    </row>
    <row r="10" spans="1:16" ht="21.75" customHeight="1">
      <c r="B10" s="5"/>
      <c r="C10" s="5"/>
      <c r="D10" s="5" t="s">
        <v>70</v>
      </c>
      <c r="E10" s="6"/>
      <c r="F10" s="77">
        <v>86250.574999999997</v>
      </c>
      <c r="G10" s="77"/>
      <c r="H10" s="6" t="s">
        <v>357</v>
      </c>
      <c r="I10" s="6" t="s">
        <v>112</v>
      </c>
      <c r="J10" s="77">
        <v>940</v>
      </c>
      <c r="K10" s="77"/>
      <c r="L10" s="6" t="s">
        <v>357</v>
      </c>
      <c r="M10" s="4"/>
      <c r="N10" s="4"/>
      <c r="O10" s="4"/>
    </row>
    <row r="11" spans="1:16" ht="21.75" customHeight="1">
      <c r="B11" s="5"/>
      <c r="C11" s="5"/>
      <c r="D11" s="5" t="s">
        <v>204</v>
      </c>
      <c r="E11" s="6"/>
      <c r="F11" s="77">
        <v>140000</v>
      </c>
      <c r="G11" s="77"/>
      <c r="H11" s="6" t="s">
        <v>357</v>
      </c>
      <c r="I11" s="6" t="s">
        <v>160</v>
      </c>
      <c r="J11" s="77">
        <v>1914476.10984</v>
      </c>
      <c r="K11" s="77"/>
      <c r="L11" s="6" t="s">
        <v>357</v>
      </c>
      <c r="M11" s="4"/>
      <c r="N11" s="4"/>
      <c r="O11" s="4"/>
    </row>
    <row r="12" spans="1:16" ht="21.75" customHeight="1">
      <c r="B12" s="5"/>
      <c r="C12" s="5"/>
      <c r="D12" s="5" t="s">
        <v>93</v>
      </c>
      <c r="E12" s="6"/>
      <c r="F12" s="77">
        <v>1380100.7899200001</v>
      </c>
      <c r="G12" s="77"/>
      <c r="H12" s="6" t="s">
        <v>357</v>
      </c>
      <c r="I12" s="5" t="s">
        <v>220</v>
      </c>
      <c r="J12" s="84">
        <v>4769082.949</v>
      </c>
      <c r="K12" s="84"/>
      <c r="L12" s="10" t="s">
        <v>357</v>
      </c>
      <c r="M12" s="6"/>
      <c r="N12" s="4"/>
      <c r="O12" s="4"/>
    </row>
    <row r="13" spans="1:16" ht="21.75" customHeight="1">
      <c r="B13" s="5"/>
      <c r="C13" s="5"/>
      <c r="D13" s="5" t="s">
        <v>47</v>
      </c>
      <c r="F13" s="77">
        <v>284086.75</v>
      </c>
      <c r="G13" s="77"/>
      <c r="H13" s="11" t="s">
        <v>357</v>
      </c>
      <c r="I13" s="11"/>
      <c r="J13" s="86"/>
      <c r="K13" s="87"/>
      <c r="L13" s="10"/>
      <c r="M13" s="4"/>
      <c r="N13" s="4"/>
      <c r="O13" s="4"/>
    </row>
    <row r="14" spans="1:16" ht="21.75" customHeight="1">
      <c r="B14" s="5"/>
      <c r="C14" s="5" t="s">
        <v>7</v>
      </c>
      <c r="D14" s="6"/>
      <c r="E14" s="6"/>
      <c r="F14" s="6"/>
      <c r="G14" s="6"/>
      <c r="H14" s="6"/>
      <c r="I14" s="6"/>
      <c r="J14" s="79"/>
      <c r="K14" s="79"/>
      <c r="L14" s="6"/>
      <c r="M14" s="4"/>
      <c r="N14" s="4"/>
      <c r="O14" s="4"/>
    </row>
    <row r="15" spans="1:16" ht="21.75" customHeight="1">
      <c r="B15" s="5"/>
      <c r="C15" s="5"/>
      <c r="D15" s="5" t="s">
        <v>165</v>
      </c>
      <c r="E15" s="6"/>
      <c r="F15" s="77">
        <v>1904009.9999599999</v>
      </c>
      <c r="G15" s="77"/>
      <c r="H15" s="6" t="s">
        <v>357</v>
      </c>
      <c r="I15" s="6" t="s">
        <v>262</v>
      </c>
      <c r="J15" s="77">
        <v>19916</v>
      </c>
      <c r="K15" s="77"/>
      <c r="L15" s="6" t="s">
        <v>357</v>
      </c>
      <c r="M15" s="4"/>
      <c r="N15" s="4"/>
      <c r="O15" s="4"/>
    </row>
    <row r="16" spans="1:16" ht="21.75" customHeight="1">
      <c r="B16" s="5"/>
      <c r="C16" s="5"/>
      <c r="D16" s="5" t="s">
        <v>151</v>
      </c>
      <c r="E16" s="6"/>
      <c r="F16" s="77">
        <v>714649.5189400001</v>
      </c>
      <c r="G16" s="77"/>
      <c r="H16" s="6" t="s">
        <v>357</v>
      </c>
      <c r="I16" s="6" t="s">
        <v>281</v>
      </c>
      <c r="J16" s="77">
        <v>0</v>
      </c>
      <c r="K16" s="77"/>
      <c r="L16" s="6" t="s">
        <v>357</v>
      </c>
      <c r="M16" s="4"/>
      <c r="N16" s="4"/>
      <c r="O16" s="4"/>
    </row>
    <row r="17" spans="2:15" ht="21.75" customHeight="1">
      <c r="B17" s="5"/>
      <c r="C17" s="5"/>
      <c r="D17" s="5" t="s">
        <v>108</v>
      </c>
      <c r="E17" s="6"/>
      <c r="F17" s="77">
        <v>35000</v>
      </c>
      <c r="G17" s="77"/>
      <c r="H17" s="6" t="s">
        <v>357</v>
      </c>
      <c r="I17" s="6" t="s">
        <v>106</v>
      </c>
      <c r="J17" s="77">
        <v>0</v>
      </c>
      <c r="K17" s="77"/>
      <c r="L17" s="6" t="s">
        <v>357</v>
      </c>
      <c r="M17" s="4"/>
      <c r="N17" s="4"/>
      <c r="O17" s="4"/>
    </row>
    <row r="18" spans="2:15" ht="21.75" customHeight="1">
      <c r="B18" s="5"/>
      <c r="C18" s="5"/>
      <c r="D18" s="5" t="s">
        <v>287</v>
      </c>
      <c r="E18" s="6"/>
      <c r="F18" s="77">
        <v>1924310.4797900002</v>
      </c>
      <c r="G18" s="77"/>
      <c r="H18" s="6" t="s">
        <v>357</v>
      </c>
      <c r="I18" s="9" t="s">
        <v>271</v>
      </c>
      <c r="J18" s="77">
        <v>3977051.6749999998</v>
      </c>
      <c r="K18" s="77"/>
      <c r="L18" s="6" t="s">
        <v>357</v>
      </c>
      <c r="M18" s="4"/>
      <c r="N18" s="4"/>
      <c r="O18" s="4"/>
    </row>
    <row r="19" spans="2:15" ht="21.75" customHeight="1">
      <c r="B19" s="5"/>
      <c r="C19" s="5"/>
      <c r="D19" s="5"/>
      <c r="E19" s="6"/>
      <c r="F19" s="77"/>
      <c r="G19" s="77"/>
      <c r="H19" s="6"/>
      <c r="I19" s="6"/>
      <c r="J19" s="6"/>
      <c r="K19" s="6"/>
      <c r="L19" s="6"/>
      <c r="M19" s="4"/>
      <c r="N19" s="4"/>
      <c r="O19" s="4"/>
    </row>
    <row r="20" spans="2:15" ht="21.75" customHeight="1">
      <c r="B20" s="5" t="s">
        <v>128</v>
      </c>
      <c r="C20" s="6" t="s">
        <v>5</v>
      </c>
      <c r="D20" s="6"/>
      <c r="E20" s="6"/>
      <c r="F20" s="6"/>
      <c r="G20" s="6"/>
      <c r="H20" s="6"/>
      <c r="I20" s="6"/>
      <c r="J20" s="6"/>
      <c r="K20" s="6"/>
      <c r="L20" s="6"/>
      <c r="M20" s="4"/>
      <c r="N20" s="4"/>
      <c r="O20" s="4"/>
    </row>
    <row r="21" spans="2:15" ht="21.75" customHeight="1">
      <c r="B21" s="5"/>
      <c r="C21" s="6" t="s">
        <v>478</v>
      </c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  <c r="O21" s="4"/>
    </row>
    <row r="22" spans="2:15" ht="21.75" customHeight="1">
      <c r="B22" s="5" t="s">
        <v>330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  <c r="O22" s="4"/>
    </row>
    <row r="23" spans="2:15" ht="21.75" customHeight="1">
      <c r="B23" s="5" t="s">
        <v>161</v>
      </c>
      <c r="C23" s="6" t="s">
        <v>4</v>
      </c>
      <c r="D23" s="6"/>
      <c r="E23" s="6"/>
      <c r="F23" s="6"/>
      <c r="G23" s="6"/>
      <c r="H23" s="6"/>
      <c r="I23" s="6"/>
      <c r="J23" s="6"/>
      <c r="K23" s="6"/>
      <c r="L23" s="6"/>
      <c r="M23" s="4"/>
      <c r="N23" s="4"/>
      <c r="O23" s="4"/>
    </row>
    <row r="24" spans="2:15" ht="21.75" customHeight="1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4"/>
      <c r="N24" s="4"/>
      <c r="O24" s="4"/>
    </row>
    <row r="25" spans="2:15" ht="21.75" customHeight="1">
      <c r="B25" s="5"/>
      <c r="C25" s="6"/>
      <c r="D25" s="80"/>
      <c r="E25" s="80"/>
      <c r="F25" s="78"/>
      <c r="G25" s="78"/>
      <c r="H25" s="6"/>
      <c r="I25" s="6"/>
      <c r="J25" s="6"/>
      <c r="K25" s="6"/>
      <c r="L25" s="7"/>
    </row>
    <row r="26" spans="2:15" ht="21.75" customHeight="1">
      <c r="B26" s="5"/>
      <c r="C26" s="6" t="s">
        <v>330</v>
      </c>
      <c r="D26" s="80"/>
      <c r="E26" s="80"/>
      <c r="F26" s="78"/>
      <c r="G26" s="78"/>
      <c r="H26" s="6"/>
      <c r="I26" s="6"/>
      <c r="J26" s="6"/>
      <c r="K26" s="6"/>
      <c r="L26" s="7"/>
    </row>
    <row r="27" spans="2:15" ht="21.75" customHeight="1">
      <c r="B27" s="5"/>
      <c r="C27" s="6"/>
      <c r="D27" s="80"/>
      <c r="E27" s="80"/>
      <c r="F27" s="78"/>
      <c r="G27" s="78"/>
      <c r="H27" s="6"/>
      <c r="I27" s="6"/>
      <c r="J27" s="6"/>
      <c r="K27" s="6"/>
      <c r="L27" s="7"/>
    </row>
    <row r="28" spans="2:15" ht="21.75" customHeight="1">
      <c r="B28" s="5"/>
      <c r="C28" s="6"/>
      <c r="D28" s="6"/>
      <c r="E28" s="6"/>
      <c r="F28" s="6"/>
      <c r="G28" s="6"/>
      <c r="H28" s="6"/>
      <c r="I28" s="6"/>
      <c r="J28" s="6"/>
      <c r="K28" s="6"/>
      <c r="L28" s="7"/>
    </row>
    <row r="29" spans="2:15" ht="21.75" customHeight="1">
      <c r="B29" s="5"/>
      <c r="C29" s="6"/>
      <c r="D29" s="6"/>
      <c r="E29" s="6"/>
      <c r="F29" s="6"/>
      <c r="G29" s="6"/>
      <c r="H29" s="6"/>
      <c r="I29" s="6"/>
      <c r="J29" s="6"/>
      <c r="K29" s="6"/>
      <c r="L29" s="7"/>
    </row>
    <row r="30" spans="2:15" ht="21.75" customHeight="1">
      <c r="B30" s="5"/>
      <c r="C30" s="6"/>
      <c r="D30" s="6"/>
      <c r="E30" s="6"/>
      <c r="F30" s="6"/>
      <c r="G30" s="6"/>
      <c r="H30" s="6"/>
      <c r="I30" s="6"/>
      <c r="J30" s="6"/>
      <c r="K30" s="6"/>
      <c r="L30" s="7"/>
    </row>
    <row r="31" spans="2:15" ht="21.75" customHeight="1">
      <c r="B31" s="5"/>
      <c r="C31" s="6"/>
      <c r="D31" s="6"/>
      <c r="E31" s="6"/>
      <c r="F31" s="6"/>
      <c r="G31" s="6"/>
      <c r="H31" s="6"/>
      <c r="I31" s="6"/>
      <c r="J31" s="6"/>
      <c r="K31" s="6"/>
      <c r="L31" s="7"/>
    </row>
    <row r="32" spans="2:15" ht="21.75" customHeight="1">
      <c r="B32" s="5"/>
      <c r="C32" s="6"/>
      <c r="D32" s="6"/>
      <c r="E32" s="6"/>
      <c r="F32" s="6"/>
      <c r="G32" s="6"/>
      <c r="H32" s="6"/>
      <c r="I32" s="6"/>
      <c r="J32" s="6"/>
      <c r="K32" s="6"/>
      <c r="L32" s="7"/>
    </row>
    <row r="33" spans="2:11" ht="21.75" customHeight="1">
      <c r="B33" s="3"/>
      <c r="C33" s="4"/>
      <c r="D33" s="4"/>
      <c r="E33" s="4"/>
      <c r="F33" s="4"/>
      <c r="G33" s="4"/>
      <c r="H33" s="4"/>
      <c r="I33" s="4"/>
      <c r="J33" s="4"/>
      <c r="K33" s="4"/>
    </row>
  </sheetData>
  <mergeCells count="30"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  <mergeCell ref="D27:E27"/>
    <mergeCell ref="D25:E25"/>
    <mergeCell ref="D26:E26"/>
    <mergeCell ref="F10:G10"/>
    <mergeCell ref="F11:G11"/>
    <mergeCell ref="F26:G26"/>
    <mergeCell ref="F12:G12"/>
    <mergeCell ref="F15:G15"/>
    <mergeCell ref="F13:G13"/>
    <mergeCell ref="F17:G17"/>
    <mergeCell ref="F18:G18"/>
    <mergeCell ref="F16:G16"/>
    <mergeCell ref="J18:K18"/>
    <mergeCell ref="F27:G27"/>
    <mergeCell ref="F19:G19"/>
    <mergeCell ref="F25:G25"/>
    <mergeCell ref="J14:K14"/>
    <mergeCell ref="J15:K15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X100"/>
  <sheetViews>
    <sheetView view="pageBreakPreview" topLeftCell="A55" zoomScaleNormal="100" zoomScaleSheetLayoutView="100" workbookViewId="0">
      <selection activeCell="S43" sqref="S43"/>
    </sheetView>
  </sheetViews>
  <sheetFormatPr defaultColWidth="9" defaultRowHeight="16.5"/>
  <cols>
    <col min="1" max="2" width="7.125" style="309" customWidth="1"/>
    <col min="3" max="3" width="13.25" style="309" customWidth="1"/>
    <col min="4" max="4" width="13.125" style="350" customWidth="1"/>
    <col min="5" max="5" width="13.125" style="351" customWidth="1"/>
    <col min="6" max="6" width="0.125" style="351" hidden="1" customWidth="1"/>
    <col min="7" max="7" width="10.125" style="352" customWidth="1"/>
    <col min="8" max="8" width="8.125" style="353" customWidth="1"/>
    <col min="9" max="9" width="20.75" style="354" customWidth="1"/>
    <col min="10" max="10" width="12.5" style="354" customWidth="1"/>
    <col min="11" max="11" width="3.125" style="355" customWidth="1"/>
    <col min="12" max="12" width="2.625" style="355" customWidth="1"/>
    <col min="13" max="14" width="3.125" style="354" customWidth="1"/>
    <col min="15" max="15" width="2.625" style="354" customWidth="1"/>
    <col min="16" max="16" width="13.625" style="354" customWidth="1"/>
    <col min="17" max="17" width="2.625" style="354" customWidth="1"/>
    <col min="18" max="16384" width="9" style="134"/>
  </cols>
  <sheetData>
    <row r="1" spans="1:17" ht="22.5">
      <c r="A1" s="133" t="s">
        <v>360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</row>
    <row r="2" spans="1:17" ht="22.5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ht="21.95" customHeight="1">
      <c r="A3" s="137" t="s">
        <v>46</v>
      </c>
      <c r="B3" s="137"/>
      <c r="C3" s="138"/>
      <c r="D3" s="138"/>
      <c r="E3" s="139"/>
      <c r="F3" s="139"/>
      <c r="G3" s="140"/>
      <c r="H3" s="141"/>
      <c r="I3" s="138"/>
      <c r="J3" s="138" t="s">
        <v>330</v>
      </c>
      <c r="K3" s="138"/>
      <c r="L3" s="138"/>
      <c r="M3" s="138"/>
      <c r="N3" s="138"/>
      <c r="O3" s="142" t="s">
        <v>25</v>
      </c>
      <c r="P3" s="142"/>
      <c r="Q3" s="142"/>
    </row>
    <row r="4" spans="1:17" ht="19.5" customHeight="1">
      <c r="A4" s="143" t="s">
        <v>312</v>
      </c>
      <c r="B4" s="144" t="s">
        <v>308</v>
      </c>
      <c r="C4" s="145" t="s">
        <v>316</v>
      </c>
      <c r="D4" s="146" t="s">
        <v>403</v>
      </c>
      <c r="E4" s="146" t="s">
        <v>398</v>
      </c>
      <c r="F4" s="147" t="s">
        <v>15</v>
      </c>
      <c r="G4" s="148" t="s">
        <v>90</v>
      </c>
      <c r="H4" s="148"/>
      <c r="I4" s="149" t="s">
        <v>487</v>
      </c>
      <c r="J4" s="144"/>
      <c r="K4" s="144"/>
      <c r="L4" s="144"/>
      <c r="M4" s="144"/>
      <c r="N4" s="144"/>
      <c r="O4" s="144"/>
      <c r="P4" s="144"/>
      <c r="Q4" s="150"/>
    </row>
    <row r="5" spans="1:17" ht="19.5" customHeight="1">
      <c r="A5" s="151"/>
      <c r="B5" s="152"/>
      <c r="C5" s="153"/>
      <c r="D5" s="154"/>
      <c r="E5" s="154"/>
      <c r="F5" s="155"/>
      <c r="G5" s="156" t="s">
        <v>338</v>
      </c>
      <c r="H5" s="157" t="s">
        <v>176</v>
      </c>
      <c r="I5" s="158"/>
      <c r="J5" s="152"/>
      <c r="K5" s="152"/>
      <c r="L5" s="152"/>
      <c r="M5" s="152"/>
      <c r="N5" s="152"/>
      <c r="O5" s="152"/>
      <c r="P5" s="152"/>
      <c r="Q5" s="159"/>
    </row>
    <row r="6" spans="1:17" ht="20.100000000000001" customHeight="1">
      <c r="A6" s="160" t="s">
        <v>63</v>
      </c>
      <c r="B6" s="161"/>
      <c r="C6" s="162"/>
      <c r="D6" s="163">
        <f>SUM(D7,D63,D33,D79,D23,D29,D84)</f>
        <v>8392197</v>
      </c>
      <c r="E6" s="163">
        <f>SUM(E7,E63,E33,E79,E23,E29,E84)+1</f>
        <v>8574938.1737600006</v>
      </c>
      <c r="F6" s="164" t="e">
        <f>SUM(F7,#REF!,F63,F33,F79,F23,#REF!,#REF!,F29)</f>
        <v>#REF!</v>
      </c>
      <c r="G6" s="165">
        <f>+E6-D6</f>
        <v>182741.17376000062</v>
      </c>
      <c r="H6" s="166">
        <f>+G6/D6*100</f>
        <v>2.1775129177735058</v>
      </c>
      <c r="I6" s="167"/>
      <c r="J6" s="167"/>
      <c r="K6" s="168"/>
      <c r="L6" s="168"/>
      <c r="M6" s="167"/>
      <c r="N6" s="167"/>
      <c r="O6" s="167"/>
      <c r="P6" s="169">
        <f>SUM(P7,P23,P29,P33,P63,P79,P84)</f>
        <v>8574938173.7600002</v>
      </c>
      <c r="Q6" s="170" t="s">
        <v>299</v>
      </c>
    </row>
    <row r="7" spans="1:17" s="183" customFormat="1" ht="18.95" customHeight="1">
      <c r="A7" s="171" t="s">
        <v>298</v>
      </c>
      <c r="B7" s="172" t="s">
        <v>311</v>
      </c>
      <c r="C7" s="173"/>
      <c r="D7" s="174">
        <f>SUM(D8)</f>
        <v>113775</v>
      </c>
      <c r="E7" s="175">
        <f>SUM(E8)</f>
        <v>86250.574999999997</v>
      </c>
      <c r="F7" s="176">
        <f>SUM(F8)</f>
        <v>71084</v>
      </c>
      <c r="G7" s="177">
        <f>+E7-D7</f>
        <v>-27524.425000000003</v>
      </c>
      <c r="H7" s="178">
        <f>+G7/D7*100</f>
        <v>-24.191979784662713</v>
      </c>
      <c r="I7" s="179"/>
      <c r="J7" s="179"/>
      <c r="K7" s="180"/>
      <c r="L7" s="180"/>
      <c r="M7" s="179"/>
      <c r="N7" s="179"/>
      <c r="O7" s="179"/>
      <c r="P7" s="181">
        <f>P8</f>
        <v>86251575</v>
      </c>
      <c r="Q7" s="182" t="s">
        <v>299</v>
      </c>
    </row>
    <row r="8" spans="1:17" s="183" customFormat="1" ht="17.100000000000001" customHeight="1">
      <c r="A8" s="171" t="s">
        <v>303</v>
      </c>
      <c r="B8" s="185" t="s">
        <v>332</v>
      </c>
      <c r="C8" s="53" t="s">
        <v>322</v>
      </c>
      <c r="D8" s="61">
        <f>SUM(D9:D22)</f>
        <v>113775</v>
      </c>
      <c r="E8" s="55">
        <f>SUM(E9:E22)</f>
        <v>86250.574999999997</v>
      </c>
      <c r="F8" s="186">
        <f>SUM(F9:F20)</f>
        <v>71084</v>
      </c>
      <c r="G8" s="187">
        <f>+E8-D8</f>
        <v>-27524.425000000003</v>
      </c>
      <c r="H8" s="188">
        <f>+G8/D8*100</f>
        <v>-24.191979784662713</v>
      </c>
      <c r="I8" s="189"/>
      <c r="J8" s="189"/>
      <c r="K8" s="190"/>
      <c r="L8" s="190"/>
      <c r="M8" s="189"/>
      <c r="N8" s="189"/>
      <c r="O8" s="189"/>
      <c r="P8" s="191">
        <f>SUM(P9,P17,P21)</f>
        <v>86251575</v>
      </c>
      <c r="Q8" s="18" t="s">
        <v>299</v>
      </c>
    </row>
    <row r="9" spans="1:17" s="183" customFormat="1" ht="17.100000000000001" customHeight="1">
      <c r="A9" s="192"/>
      <c r="B9" s="193" t="s">
        <v>48</v>
      </c>
      <c r="C9" s="100" t="s">
        <v>157</v>
      </c>
      <c r="D9" s="93">
        <v>60940</v>
      </c>
      <c r="E9" s="96">
        <f>+P9/1000</f>
        <v>60940</v>
      </c>
      <c r="F9" s="194">
        <v>0</v>
      </c>
      <c r="G9" s="195">
        <f>+E9-D9</f>
        <v>0</v>
      </c>
      <c r="H9" s="196">
        <f>+G9/D9*100</f>
        <v>0</v>
      </c>
      <c r="I9" s="197"/>
      <c r="J9" s="198"/>
      <c r="K9" s="66"/>
      <c r="L9" s="66"/>
      <c r="M9" s="118" t="s">
        <v>336</v>
      </c>
      <c r="N9" s="118"/>
      <c r="O9" s="118"/>
      <c r="P9" s="198">
        <f>SUM(P10:P16)</f>
        <v>60940000</v>
      </c>
      <c r="Q9" s="18" t="s">
        <v>299</v>
      </c>
    </row>
    <row r="10" spans="1:17" s="183" customFormat="1" ht="17.100000000000001" customHeight="1">
      <c r="A10" s="192"/>
      <c r="B10" s="199"/>
      <c r="C10" s="101"/>
      <c r="D10" s="94"/>
      <c r="E10" s="97"/>
      <c r="F10" s="200"/>
      <c r="G10" s="201"/>
      <c r="H10" s="202"/>
      <c r="I10" s="203" t="s">
        <v>8</v>
      </c>
      <c r="J10" s="204">
        <v>700000</v>
      </c>
      <c r="K10" s="29" t="s">
        <v>299</v>
      </c>
      <c r="L10" s="46" t="s">
        <v>315</v>
      </c>
      <c r="M10" s="29">
        <v>12</v>
      </c>
      <c r="N10" s="29" t="s">
        <v>314</v>
      </c>
      <c r="O10" s="29" t="s">
        <v>317</v>
      </c>
      <c r="P10" s="31">
        <f t="shared" ref="P10:P16" si="0">SUM(J10*M10)</f>
        <v>8400000</v>
      </c>
      <c r="Q10" s="32" t="s">
        <v>299</v>
      </c>
    </row>
    <row r="11" spans="1:17" s="183" customFormat="1" ht="17.100000000000001" customHeight="1">
      <c r="A11" s="192"/>
      <c r="B11" s="199"/>
      <c r="C11" s="101"/>
      <c r="D11" s="94"/>
      <c r="E11" s="97"/>
      <c r="F11" s="205"/>
      <c r="G11" s="201"/>
      <c r="H11" s="202"/>
      <c r="I11" s="206" t="s">
        <v>391</v>
      </c>
      <c r="J11" s="204">
        <v>420000</v>
      </c>
      <c r="K11" s="29" t="s">
        <v>299</v>
      </c>
      <c r="L11" s="46" t="s">
        <v>315</v>
      </c>
      <c r="M11" s="29">
        <v>12</v>
      </c>
      <c r="N11" s="29" t="s">
        <v>314</v>
      </c>
      <c r="O11" s="29" t="s">
        <v>317</v>
      </c>
      <c r="P11" s="31">
        <f t="shared" si="0"/>
        <v>5040000</v>
      </c>
      <c r="Q11" s="32" t="s">
        <v>299</v>
      </c>
    </row>
    <row r="12" spans="1:17" s="183" customFormat="1" ht="17.100000000000001" customHeight="1">
      <c r="A12" s="192"/>
      <c r="B12" s="199"/>
      <c r="C12" s="101"/>
      <c r="D12" s="94"/>
      <c r="E12" s="97"/>
      <c r="F12" s="200"/>
      <c r="G12" s="201"/>
      <c r="H12" s="202"/>
      <c r="I12" s="206" t="s">
        <v>256</v>
      </c>
      <c r="J12" s="204">
        <v>500000</v>
      </c>
      <c r="K12" s="29" t="s">
        <v>299</v>
      </c>
      <c r="L12" s="46" t="s">
        <v>315</v>
      </c>
      <c r="M12" s="29">
        <v>8</v>
      </c>
      <c r="N12" s="29" t="s">
        <v>314</v>
      </c>
      <c r="O12" s="29" t="s">
        <v>317</v>
      </c>
      <c r="P12" s="31">
        <f t="shared" si="0"/>
        <v>4000000</v>
      </c>
      <c r="Q12" s="32" t="s">
        <v>299</v>
      </c>
    </row>
    <row r="13" spans="1:17" s="183" customFormat="1" ht="17.100000000000001" customHeight="1">
      <c r="A13" s="192"/>
      <c r="B13" s="199"/>
      <c r="C13" s="101"/>
      <c r="D13" s="94"/>
      <c r="E13" s="97"/>
      <c r="F13" s="200"/>
      <c r="G13" s="201"/>
      <c r="H13" s="202"/>
      <c r="I13" s="206" t="s">
        <v>423</v>
      </c>
      <c r="J13" s="204">
        <v>2100000</v>
      </c>
      <c r="K13" s="29" t="s">
        <v>299</v>
      </c>
      <c r="L13" s="46" t="s">
        <v>315</v>
      </c>
      <c r="M13" s="29">
        <v>12</v>
      </c>
      <c r="N13" s="29" t="s">
        <v>314</v>
      </c>
      <c r="O13" s="29" t="s">
        <v>317</v>
      </c>
      <c r="P13" s="31">
        <f t="shared" si="0"/>
        <v>25200000</v>
      </c>
      <c r="Q13" s="32" t="s">
        <v>299</v>
      </c>
    </row>
    <row r="14" spans="1:17" s="183" customFormat="1" ht="17.100000000000001" customHeight="1">
      <c r="A14" s="192"/>
      <c r="B14" s="199"/>
      <c r="C14" s="101"/>
      <c r="D14" s="94"/>
      <c r="E14" s="97"/>
      <c r="F14" s="200"/>
      <c r="G14" s="201"/>
      <c r="H14" s="202"/>
      <c r="I14" s="206" t="s">
        <v>26</v>
      </c>
      <c r="J14" s="204">
        <v>1300000</v>
      </c>
      <c r="K14" s="29" t="s">
        <v>299</v>
      </c>
      <c r="L14" s="46" t="s">
        <v>315</v>
      </c>
      <c r="M14" s="29">
        <v>12</v>
      </c>
      <c r="N14" s="29" t="s">
        <v>314</v>
      </c>
      <c r="O14" s="29" t="s">
        <v>317</v>
      </c>
      <c r="P14" s="31">
        <f t="shared" si="0"/>
        <v>15600000</v>
      </c>
      <c r="Q14" s="32" t="s">
        <v>299</v>
      </c>
    </row>
    <row r="15" spans="1:17" s="183" customFormat="1" ht="17.100000000000001" customHeight="1">
      <c r="A15" s="192"/>
      <c r="B15" s="199"/>
      <c r="C15" s="101"/>
      <c r="D15" s="94"/>
      <c r="E15" s="97"/>
      <c r="F15" s="200"/>
      <c r="G15" s="201"/>
      <c r="H15" s="202"/>
      <c r="I15" s="206" t="s">
        <v>431</v>
      </c>
      <c r="J15" s="204">
        <v>100000</v>
      </c>
      <c r="K15" s="29" t="s">
        <v>299</v>
      </c>
      <c r="L15" s="46" t="s">
        <v>315</v>
      </c>
      <c r="M15" s="29">
        <v>12</v>
      </c>
      <c r="N15" s="29" t="s">
        <v>314</v>
      </c>
      <c r="O15" s="29" t="s">
        <v>317</v>
      </c>
      <c r="P15" s="31">
        <f>SUM(J15*M15)</f>
        <v>1200000</v>
      </c>
      <c r="Q15" s="32" t="s">
        <v>299</v>
      </c>
    </row>
    <row r="16" spans="1:17" s="183" customFormat="1" ht="17.100000000000001" customHeight="1">
      <c r="A16" s="192"/>
      <c r="B16" s="199"/>
      <c r="C16" s="207"/>
      <c r="D16" s="208"/>
      <c r="E16" s="209"/>
      <c r="F16" s="200"/>
      <c r="G16" s="210"/>
      <c r="H16" s="211"/>
      <c r="I16" s="206" t="s">
        <v>374</v>
      </c>
      <c r="J16" s="212">
        <v>750000</v>
      </c>
      <c r="K16" s="29" t="s">
        <v>299</v>
      </c>
      <c r="L16" s="46" t="s">
        <v>315</v>
      </c>
      <c r="M16" s="29">
        <v>2</v>
      </c>
      <c r="N16" s="29" t="s">
        <v>313</v>
      </c>
      <c r="O16" s="29" t="s">
        <v>317</v>
      </c>
      <c r="P16" s="31">
        <f t="shared" si="0"/>
        <v>1500000</v>
      </c>
      <c r="Q16" s="32" t="s">
        <v>299</v>
      </c>
    </row>
    <row r="17" spans="1:17" s="183" customFormat="1" ht="17.100000000000001" customHeight="1">
      <c r="A17" s="192"/>
      <c r="B17" s="199"/>
      <c r="C17" s="213" t="s">
        <v>454</v>
      </c>
      <c r="D17" s="93">
        <v>52625</v>
      </c>
      <c r="E17" s="96">
        <f>+P17/1000</f>
        <v>25101</v>
      </c>
      <c r="F17" s="90">
        <v>71084</v>
      </c>
      <c r="G17" s="98">
        <f>+E17-D17</f>
        <v>-27524</v>
      </c>
      <c r="H17" s="88">
        <f>+G17/D17*100</f>
        <v>-52.302137767220898</v>
      </c>
      <c r="I17" s="197"/>
      <c r="J17" s="198"/>
      <c r="K17" s="66"/>
      <c r="L17" s="66"/>
      <c r="M17" s="118" t="s">
        <v>336</v>
      </c>
      <c r="N17" s="118"/>
      <c r="O17" s="118"/>
      <c r="P17" s="198">
        <f>SUM(P18:P20)</f>
        <v>25101000</v>
      </c>
      <c r="Q17" s="18" t="s">
        <v>299</v>
      </c>
    </row>
    <row r="18" spans="1:17" s="183" customFormat="1" ht="17.100000000000001" customHeight="1">
      <c r="A18" s="192"/>
      <c r="B18" s="199"/>
      <c r="C18" s="214"/>
      <c r="D18" s="94"/>
      <c r="E18" s="97"/>
      <c r="F18" s="91"/>
      <c r="G18" s="99"/>
      <c r="H18" s="89"/>
      <c r="I18" s="206" t="s">
        <v>366</v>
      </c>
      <c r="J18" s="31">
        <v>4700000</v>
      </c>
      <c r="K18" s="29" t="s">
        <v>299</v>
      </c>
      <c r="L18" s="46" t="s">
        <v>315</v>
      </c>
      <c r="M18" s="29">
        <v>1</v>
      </c>
      <c r="N18" s="29" t="s">
        <v>313</v>
      </c>
      <c r="O18" s="30" t="s">
        <v>317</v>
      </c>
      <c r="P18" s="31">
        <f>J18*M18</f>
        <v>4700000</v>
      </c>
      <c r="Q18" s="32" t="s">
        <v>299</v>
      </c>
    </row>
    <row r="19" spans="1:17" s="183" customFormat="1" ht="17.100000000000001" customHeight="1">
      <c r="A19" s="192"/>
      <c r="B19" s="199"/>
      <c r="C19" s="214"/>
      <c r="D19" s="94"/>
      <c r="E19" s="97"/>
      <c r="F19" s="91"/>
      <c r="G19" s="99"/>
      <c r="H19" s="89"/>
      <c r="I19" s="203" t="s">
        <v>375</v>
      </c>
      <c r="J19" s="31">
        <v>1774200</v>
      </c>
      <c r="K19" s="29" t="s">
        <v>299</v>
      </c>
      <c r="L19" s="46" t="s">
        <v>315</v>
      </c>
      <c r="M19" s="29">
        <v>5</v>
      </c>
      <c r="N19" s="29" t="s">
        <v>313</v>
      </c>
      <c r="O19" s="30" t="s">
        <v>317</v>
      </c>
      <c r="P19" s="31">
        <f>J19*M19</f>
        <v>8871000</v>
      </c>
      <c r="Q19" s="32" t="s">
        <v>299</v>
      </c>
    </row>
    <row r="20" spans="1:17" s="183" customFormat="1" ht="17.100000000000001" customHeight="1">
      <c r="A20" s="192"/>
      <c r="B20" s="199"/>
      <c r="C20" s="214"/>
      <c r="D20" s="94"/>
      <c r="E20" s="97"/>
      <c r="F20" s="91"/>
      <c r="G20" s="99"/>
      <c r="H20" s="89"/>
      <c r="I20" s="206" t="s">
        <v>383</v>
      </c>
      <c r="J20" s="31">
        <v>2882500</v>
      </c>
      <c r="K20" s="29" t="s">
        <v>299</v>
      </c>
      <c r="L20" s="46" t="s">
        <v>315</v>
      </c>
      <c r="M20" s="29">
        <v>4</v>
      </c>
      <c r="N20" s="29" t="s">
        <v>313</v>
      </c>
      <c r="O20" s="30" t="s">
        <v>317</v>
      </c>
      <c r="P20" s="31">
        <f>J20*M20</f>
        <v>11530000</v>
      </c>
      <c r="Q20" s="32" t="s">
        <v>299</v>
      </c>
    </row>
    <row r="21" spans="1:17" s="183" customFormat="1" ht="17.100000000000001" customHeight="1">
      <c r="A21" s="192"/>
      <c r="B21" s="199"/>
      <c r="C21" s="100" t="s">
        <v>153</v>
      </c>
      <c r="D21" s="93">
        <v>210</v>
      </c>
      <c r="E21" s="195">
        <f>(P21/1000)-1</f>
        <v>209.57499999999999</v>
      </c>
      <c r="F21" s="205"/>
      <c r="G21" s="98">
        <f>E21-D21</f>
        <v>-0.42500000000001137</v>
      </c>
      <c r="H21" s="88">
        <v>0</v>
      </c>
      <c r="I21" s="197"/>
      <c r="J21" s="198"/>
      <c r="K21" s="66"/>
      <c r="L21" s="36"/>
      <c r="M21" s="118" t="s">
        <v>336</v>
      </c>
      <c r="N21" s="118"/>
      <c r="O21" s="118"/>
      <c r="P21" s="23">
        <f>SUM(P22:P22)</f>
        <v>210575</v>
      </c>
      <c r="Q21" s="18" t="s">
        <v>299</v>
      </c>
    </row>
    <row r="22" spans="1:17" s="183" customFormat="1" ht="17.100000000000001" customHeight="1">
      <c r="A22" s="192"/>
      <c r="B22" s="199"/>
      <c r="C22" s="101"/>
      <c r="D22" s="94"/>
      <c r="E22" s="210"/>
      <c r="F22" s="205"/>
      <c r="G22" s="99"/>
      <c r="H22" s="89"/>
      <c r="I22" s="206" t="s">
        <v>387</v>
      </c>
      <c r="J22" s="215">
        <v>210575</v>
      </c>
      <c r="K22" s="29" t="s">
        <v>299</v>
      </c>
      <c r="L22" s="46" t="s">
        <v>315</v>
      </c>
      <c r="M22" s="29">
        <v>1</v>
      </c>
      <c r="N22" s="29" t="s">
        <v>313</v>
      </c>
      <c r="O22" s="30" t="s">
        <v>323</v>
      </c>
      <c r="P22" s="31">
        <f>J22*M22</f>
        <v>210575</v>
      </c>
      <c r="Q22" s="32" t="s">
        <v>299</v>
      </c>
    </row>
    <row r="23" spans="1:17" s="183" customFormat="1" ht="18.95" customHeight="1">
      <c r="A23" s="216" t="s">
        <v>181</v>
      </c>
      <c r="B23" s="217" t="s">
        <v>311</v>
      </c>
      <c r="C23" s="218"/>
      <c r="D23" s="219">
        <f>SUM(D24)</f>
        <v>4600</v>
      </c>
      <c r="E23" s="220">
        <f>SUM(E24)</f>
        <v>940</v>
      </c>
      <c r="F23" s="221">
        <f>SUM(F24)</f>
        <v>12766566</v>
      </c>
      <c r="G23" s="222">
        <f>+E23-D23</f>
        <v>-3660</v>
      </c>
      <c r="H23" s="223">
        <f>+G23/D23*100</f>
        <v>-79.565217391304344</v>
      </c>
      <c r="I23" s="224"/>
      <c r="J23" s="224"/>
      <c r="K23" s="225"/>
      <c r="L23" s="225"/>
      <c r="M23" s="224"/>
      <c r="N23" s="224"/>
      <c r="O23" s="224"/>
      <c r="P23" s="226">
        <f>P24</f>
        <v>940000</v>
      </c>
      <c r="Q23" s="227" t="s">
        <v>299</v>
      </c>
    </row>
    <row r="24" spans="1:17" s="183" customFormat="1" ht="17.100000000000001" customHeight="1">
      <c r="A24" s="192"/>
      <c r="B24" s="193" t="s">
        <v>181</v>
      </c>
      <c r="C24" s="54" t="s">
        <v>322</v>
      </c>
      <c r="D24" s="62">
        <f>SUM(D25)</f>
        <v>4600</v>
      </c>
      <c r="E24" s="228">
        <f>SUM(E25)</f>
        <v>940</v>
      </c>
      <c r="F24" s="229">
        <f>SUM(F25:F91)</f>
        <v>12766566</v>
      </c>
      <c r="G24" s="230">
        <f>+E24-D24</f>
        <v>-3660</v>
      </c>
      <c r="H24" s="188">
        <f>+G24/D24*100</f>
        <v>-79.565217391304344</v>
      </c>
      <c r="I24" s="45"/>
      <c r="J24" s="45"/>
      <c r="K24" s="29"/>
      <c r="L24" s="29"/>
      <c r="M24" s="45"/>
      <c r="N24" s="45"/>
      <c r="O24" s="45"/>
      <c r="P24" s="231">
        <f>P25</f>
        <v>940000</v>
      </c>
      <c r="Q24" s="32" t="s">
        <v>299</v>
      </c>
    </row>
    <row r="25" spans="1:17" s="183" customFormat="1" ht="17.100000000000001" customHeight="1">
      <c r="A25" s="192"/>
      <c r="B25" s="199"/>
      <c r="C25" s="100" t="s">
        <v>129</v>
      </c>
      <c r="D25" s="93">
        <v>4600</v>
      </c>
      <c r="E25" s="96">
        <f>P24/1000</f>
        <v>940</v>
      </c>
      <c r="F25" s="90">
        <v>10450</v>
      </c>
      <c r="G25" s="98">
        <f>+E25-D25</f>
        <v>-3660</v>
      </c>
      <c r="H25" s="88">
        <f>+G25/D25*100</f>
        <v>-79.565217391304344</v>
      </c>
      <c r="I25" s="232"/>
      <c r="J25" s="233"/>
      <c r="K25" s="66"/>
      <c r="L25" s="66"/>
      <c r="M25" s="95" t="s">
        <v>336</v>
      </c>
      <c r="N25" s="95"/>
      <c r="O25" s="95"/>
      <c r="P25" s="17">
        <f>SUM(P26:P28)</f>
        <v>940000</v>
      </c>
      <c r="Q25" s="18" t="s">
        <v>299</v>
      </c>
    </row>
    <row r="26" spans="1:17" s="183" customFormat="1" ht="17.100000000000001" customHeight="1">
      <c r="A26" s="171"/>
      <c r="B26" s="199"/>
      <c r="C26" s="101"/>
      <c r="D26" s="94"/>
      <c r="E26" s="97"/>
      <c r="F26" s="91"/>
      <c r="G26" s="99"/>
      <c r="H26" s="89"/>
      <c r="I26" s="234" t="s">
        <v>430</v>
      </c>
      <c r="J26" s="25"/>
      <c r="K26" s="28" t="s">
        <v>299</v>
      </c>
      <c r="L26" s="27" t="s">
        <v>315</v>
      </c>
      <c r="M26" s="28">
        <v>0</v>
      </c>
      <c r="N26" s="28" t="s">
        <v>334</v>
      </c>
      <c r="O26" s="48" t="s">
        <v>317</v>
      </c>
      <c r="P26" s="25">
        <f>J26*M26</f>
        <v>0</v>
      </c>
      <c r="Q26" s="49" t="s">
        <v>299</v>
      </c>
    </row>
    <row r="27" spans="1:17" s="183" customFormat="1" ht="17.100000000000001" customHeight="1">
      <c r="A27" s="192"/>
      <c r="B27" s="199"/>
      <c r="C27" s="101"/>
      <c r="D27" s="94"/>
      <c r="E27" s="97"/>
      <c r="F27" s="91"/>
      <c r="G27" s="99"/>
      <c r="H27" s="89"/>
      <c r="I27" s="234" t="s">
        <v>40</v>
      </c>
      <c r="J27" s="25"/>
      <c r="K27" s="28" t="s">
        <v>299</v>
      </c>
      <c r="L27" s="27" t="s">
        <v>315</v>
      </c>
      <c r="M27" s="28">
        <v>0</v>
      </c>
      <c r="N27" s="28" t="s">
        <v>334</v>
      </c>
      <c r="O27" s="48" t="s">
        <v>317</v>
      </c>
      <c r="P27" s="25">
        <f t="shared" ref="P27:P28" si="1">J27*M27</f>
        <v>0</v>
      </c>
      <c r="Q27" s="49" t="s">
        <v>299</v>
      </c>
    </row>
    <row r="28" spans="1:17" s="183" customFormat="1" ht="17.100000000000001" customHeight="1">
      <c r="A28" s="235"/>
      <c r="B28" s="236"/>
      <c r="C28" s="12"/>
      <c r="D28" s="13"/>
      <c r="E28" s="14"/>
      <c r="F28" s="92"/>
      <c r="G28" s="15"/>
      <c r="H28" s="16"/>
      <c r="I28" s="237" t="s">
        <v>382</v>
      </c>
      <c r="J28" s="238">
        <v>20000</v>
      </c>
      <c r="K28" s="239" t="s">
        <v>299</v>
      </c>
      <c r="L28" s="240" t="s">
        <v>315</v>
      </c>
      <c r="M28" s="239">
        <v>47</v>
      </c>
      <c r="N28" s="239" t="s">
        <v>334</v>
      </c>
      <c r="O28" s="241" t="s">
        <v>317</v>
      </c>
      <c r="P28" s="238">
        <f t="shared" si="1"/>
        <v>940000</v>
      </c>
      <c r="Q28" s="242" t="s">
        <v>299</v>
      </c>
    </row>
    <row r="29" spans="1:17" s="183" customFormat="1" ht="18.95" customHeight="1">
      <c r="A29" s="216" t="s">
        <v>118</v>
      </c>
      <c r="B29" s="217" t="s">
        <v>311</v>
      </c>
      <c r="C29" s="218"/>
      <c r="D29" s="219">
        <f t="shared" ref="D29:F30" si="2">SUM(D30)</f>
        <v>140000</v>
      </c>
      <c r="E29" s="220">
        <f t="shared" si="2"/>
        <v>140000</v>
      </c>
      <c r="F29" s="243">
        <f t="shared" si="2"/>
        <v>56700</v>
      </c>
      <c r="G29" s="222">
        <f t="shared" ref="G29:G31" si="3">+E29-D29</f>
        <v>0</v>
      </c>
      <c r="H29" s="223">
        <f>+G29/D29*100</f>
        <v>0</v>
      </c>
      <c r="I29" s="244"/>
      <c r="J29" s="244"/>
      <c r="K29" s="245"/>
      <c r="L29" s="245"/>
      <c r="M29" s="244"/>
      <c r="N29" s="244"/>
      <c r="O29" s="244"/>
      <c r="P29" s="226">
        <f>P30</f>
        <v>140000000</v>
      </c>
      <c r="Q29" s="227" t="s">
        <v>299</v>
      </c>
    </row>
    <row r="30" spans="1:17" s="183" customFormat="1" ht="17.100000000000001" customHeight="1">
      <c r="A30" s="192"/>
      <c r="B30" s="193" t="s">
        <v>118</v>
      </c>
      <c r="C30" s="246" t="s">
        <v>322</v>
      </c>
      <c r="D30" s="247">
        <f>D31</f>
        <v>140000</v>
      </c>
      <c r="E30" s="248">
        <f t="shared" si="2"/>
        <v>140000</v>
      </c>
      <c r="F30" s="249">
        <f t="shared" si="2"/>
        <v>56700</v>
      </c>
      <c r="G30" s="187">
        <f t="shared" si="3"/>
        <v>0</v>
      </c>
      <c r="H30" s="188">
        <f>+G30/D30*100</f>
        <v>0</v>
      </c>
      <c r="I30" s="250"/>
      <c r="J30" s="224"/>
      <c r="K30" s="225"/>
      <c r="L30" s="225"/>
      <c r="M30" s="224"/>
      <c r="N30" s="224"/>
      <c r="O30" s="224"/>
      <c r="P30" s="251">
        <f>SUM(P31)</f>
        <v>140000000</v>
      </c>
      <c r="Q30" s="252" t="s">
        <v>299</v>
      </c>
    </row>
    <row r="31" spans="1:17" s="183" customFormat="1" ht="17.100000000000001" customHeight="1">
      <c r="A31" s="192"/>
      <c r="B31" s="54"/>
      <c r="C31" s="100" t="s">
        <v>139</v>
      </c>
      <c r="D31" s="93">
        <v>140000</v>
      </c>
      <c r="E31" s="96">
        <f>+P31/1000</f>
        <v>140000</v>
      </c>
      <c r="F31" s="90">
        <v>56700</v>
      </c>
      <c r="G31" s="195">
        <f t="shared" si="3"/>
        <v>0</v>
      </c>
      <c r="H31" s="253">
        <f>+G31/D31*100</f>
        <v>0</v>
      </c>
      <c r="I31" s="254"/>
      <c r="J31" s="45"/>
      <c r="K31" s="29"/>
      <c r="L31" s="29"/>
      <c r="M31" s="45" t="s">
        <v>336</v>
      </c>
      <c r="N31" s="45"/>
      <c r="O31" s="45"/>
      <c r="P31" s="231">
        <f>SUM(P32:P32)</f>
        <v>140000000</v>
      </c>
      <c r="Q31" s="32" t="s">
        <v>299</v>
      </c>
    </row>
    <row r="32" spans="1:17" s="183" customFormat="1" ht="17.100000000000001" customHeight="1">
      <c r="A32" s="192"/>
      <c r="B32" s="54"/>
      <c r="C32" s="101"/>
      <c r="D32" s="94"/>
      <c r="E32" s="97"/>
      <c r="F32" s="91"/>
      <c r="G32" s="201"/>
      <c r="H32" s="255"/>
      <c r="I32" s="206" t="s">
        <v>278</v>
      </c>
      <c r="J32" s="215">
        <v>140000000</v>
      </c>
      <c r="K32" s="29" t="s">
        <v>299</v>
      </c>
      <c r="L32" s="46" t="s">
        <v>315</v>
      </c>
      <c r="M32" s="29">
        <v>1</v>
      </c>
      <c r="N32" s="29" t="s">
        <v>313</v>
      </c>
      <c r="O32" s="29" t="s">
        <v>317</v>
      </c>
      <c r="P32" s="215">
        <f>+M32*J32</f>
        <v>140000000</v>
      </c>
      <c r="Q32" s="32" t="s">
        <v>299</v>
      </c>
    </row>
    <row r="33" spans="1:17" s="183" customFormat="1" ht="18.95" customHeight="1">
      <c r="A33" s="256" t="s">
        <v>306</v>
      </c>
      <c r="B33" s="218" t="s">
        <v>311</v>
      </c>
      <c r="C33" s="257"/>
      <c r="D33" s="219">
        <f>+D34+D50</f>
        <v>1397420</v>
      </c>
      <c r="E33" s="220">
        <f>+E34+E50</f>
        <v>1380100.7899200001</v>
      </c>
      <c r="F33" s="221">
        <f>+F34+F50</f>
        <v>1336159</v>
      </c>
      <c r="G33" s="222">
        <f>E33-D33</f>
        <v>-17319.210079999873</v>
      </c>
      <c r="H33" s="223">
        <f>+G33/D33*100</f>
        <v>-1.2393704169111559</v>
      </c>
      <c r="I33" s="258"/>
      <c r="J33" s="258"/>
      <c r="K33" s="259"/>
      <c r="L33" s="260"/>
      <c r="M33" s="258"/>
      <c r="N33" s="258"/>
      <c r="O33" s="258"/>
      <c r="P33" s="261">
        <f>SUM(P34,P50)</f>
        <v>1380100789.9200001</v>
      </c>
      <c r="Q33" s="262" t="s">
        <v>299</v>
      </c>
    </row>
    <row r="34" spans="1:17" s="183" customFormat="1" ht="17.100000000000001" customHeight="1">
      <c r="A34" s="192"/>
      <c r="B34" s="263" t="s">
        <v>326</v>
      </c>
      <c r="C34" s="54" t="s">
        <v>322</v>
      </c>
      <c r="D34" s="62">
        <f>SUM(D35:D46)</f>
        <v>777770</v>
      </c>
      <c r="E34" s="56">
        <f>SUM(E35:E49)</f>
        <v>754178</v>
      </c>
      <c r="F34" s="59">
        <f>SUM(F35:F46)</f>
        <v>711605</v>
      </c>
      <c r="G34" s="187">
        <f>E34-D34</f>
        <v>-23592</v>
      </c>
      <c r="H34" s="188">
        <f>+G34/D34*100</f>
        <v>-3.0332874757319002</v>
      </c>
      <c r="I34" s="26"/>
      <c r="J34" s="26"/>
      <c r="K34" s="264"/>
      <c r="L34" s="28"/>
      <c r="M34" s="26"/>
      <c r="N34" s="26"/>
      <c r="O34" s="26"/>
      <c r="P34" s="265">
        <f>SUM(P35,P37,P42,P45)</f>
        <v>754178000</v>
      </c>
      <c r="Q34" s="49" t="s">
        <v>299</v>
      </c>
    </row>
    <row r="35" spans="1:17" s="183" customFormat="1" ht="17.100000000000001" customHeight="1">
      <c r="A35" s="192"/>
      <c r="B35" s="263" t="s">
        <v>306</v>
      </c>
      <c r="C35" s="213" t="s">
        <v>294</v>
      </c>
      <c r="D35" s="93">
        <v>357650</v>
      </c>
      <c r="E35" s="96">
        <f>P35/1000</f>
        <v>357650</v>
      </c>
      <c r="F35" s="90">
        <v>480000</v>
      </c>
      <c r="G35" s="98">
        <f>+E35-D35</f>
        <v>0</v>
      </c>
      <c r="H35" s="88">
        <f>+G35/D35*100</f>
        <v>0</v>
      </c>
      <c r="I35" s="266"/>
      <c r="J35" s="267"/>
      <c r="K35" s="268"/>
      <c r="L35" s="68"/>
      <c r="M35" s="68" t="s">
        <v>336</v>
      </c>
      <c r="N35" s="68"/>
      <c r="O35" s="68"/>
      <c r="P35" s="267">
        <f>SUM(P36:P36)</f>
        <v>357650000</v>
      </c>
      <c r="Q35" s="51" t="s">
        <v>299</v>
      </c>
    </row>
    <row r="36" spans="1:17" s="183" customFormat="1" ht="17.100000000000001" customHeight="1">
      <c r="A36" s="192"/>
      <c r="B36" s="199"/>
      <c r="C36" s="101"/>
      <c r="D36" s="94"/>
      <c r="E36" s="97"/>
      <c r="F36" s="92"/>
      <c r="G36" s="99"/>
      <c r="H36" s="89"/>
      <c r="I36" s="269" t="s">
        <v>95</v>
      </c>
      <c r="J36" s="270">
        <v>178825000</v>
      </c>
      <c r="K36" s="28" t="s">
        <v>299</v>
      </c>
      <c r="L36" s="27" t="s">
        <v>315</v>
      </c>
      <c r="M36" s="28">
        <v>2</v>
      </c>
      <c r="N36" s="28" t="s">
        <v>313</v>
      </c>
      <c r="O36" s="48" t="s">
        <v>317</v>
      </c>
      <c r="P36" s="25">
        <f>SUM(J36*M36)</f>
        <v>357650000</v>
      </c>
      <c r="Q36" s="49" t="s">
        <v>299</v>
      </c>
    </row>
    <row r="37" spans="1:17" s="183" customFormat="1" ht="17.100000000000001" customHeight="1">
      <c r="A37" s="192"/>
      <c r="B37" s="199"/>
      <c r="C37" s="213" t="s">
        <v>288</v>
      </c>
      <c r="D37" s="93">
        <v>44120</v>
      </c>
      <c r="E37" s="96">
        <f>P37/1000</f>
        <v>52392</v>
      </c>
      <c r="F37" s="90">
        <v>79390</v>
      </c>
      <c r="G37" s="98">
        <f>+E37-D37</f>
        <v>8272</v>
      </c>
      <c r="H37" s="88">
        <f>+G37/D37*100</f>
        <v>18.748866727107888</v>
      </c>
      <c r="I37" s="271"/>
      <c r="J37" s="198"/>
      <c r="K37" s="66"/>
      <c r="L37" s="66"/>
      <c r="M37" s="118" t="s">
        <v>336</v>
      </c>
      <c r="N37" s="118"/>
      <c r="O37" s="118"/>
      <c r="P37" s="198">
        <f>SUM(P38:P41)</f>
        <v>52392000</v>
      </c>
      <c r="Q37" s="18" t="s">
        <v>299</v>
      </c>
    </row>
    <row r="38" spans="1:17" s="183" customFormat="1" ht="17.100000000000001" customHeight="1">
      <c r="A38" s="192"/>
      <c r="B38" s="199"/>
      <c r="C38" s="101"/>
      <c r="D38" s="94"/>
      <c r="E38" s="97"/>
      <c r="F38" s="91"/>
      <c r="G38" s="99"/>
      <c r="H38" s="89"/>
      <c r="I38" s="272" t="s">
        <v>252</v>
      </c>
      <c r="J38" s="273">
        <v>3000000</v>
      </c>
      <c r="K38" s="274" t="s">
        <v>299</v>
      </c>
      <c r="L38" s="275" t="s">
        <v>315</v>
      </c>
      <c r="M38" s="274">
        <v>12</v>
      </c>
      <c r="N38" s="274" t="s">
        <v>314</v>
      </c>
      <c r="O38" s="276" t="s">
        <v>317</v>
      </c>
      <c r="P38" s="273">
        <f>SUM(J38*M38)</f>
        <v>36000000</v>
      </c>
      <c r="Q38" s="277" t="s">
        <v>299</v>
      </c>
    </row>
    <row r="39" spans="1:17" s="183" customFormat="1" ht="17.100000000000001" customHeight="1">
      <c r="A39" s="192"/>
      <c r="B39" s="199"/>
      <c r="C39" s="101"/>
      <c r="D39" s="94"/>
      <c r="E39" s="97"/>
      <c r="F39" s="59"/>
      <c r="G39" s="99"/>
      <c r="H39" s="89"/>
      <c r="I39" s="234" t="s">
        <v>370</v>
      </c>
      <c r="J39" s="25">
        <v>746000</v>
      </c>
      <c r="K39" s="28" t="s">
        <v>299</v>
      </c>
      <c r="L39" s="27" t="s">
        <v>315</v>
      </c>
      <c r="M39" s="28">
        <v>12</v>
      </c>
      <c r="N39" s="28" t="s">
        <v>314</v>
      </c>
      <c r="O39" s="48" t="s">
        <v>317</v>
      </c>
      <c r="P39" s="25">
        <f>SUM(J39*M39)</f>
        <v>8952000</v>
      </c>
      <c r="Q39" s="49" t="s">
        <v>299</v>
      </c>
    </row>
    <row r="40" spans="1:17" s="183" customFormat="1" ht="17.100000000000001" customHeight="1">
      <c r="A40" s="192"/>
      <c r="B40" s="199"/>
      <c r="C40" s="101"/>
      <c r="D40" s="94"/>
      <c r="E40" s="97"/>
      <c r="F40" s="59"/>
      <c r="G40" s="99"/>
      <c r="H40" s="89"/>
      <c r="I40" s="269" t="s">
        <v>413</v>
      </c>
      <c r="J40" s="25">
        <v>600000</v>
      </c>
      <c r="K40" s="28" t="s">
        <v>299</v>
      </c>
      <c r="L40" s="27" t="s">
        <v>315</v>
      </c>
      <c r="M40" s="28">
        <v>12</v>
      </c>
      <c r="N40" s="28" t="s">
        <v>481</v>
      </c>
      <c r="O40" s="48" t="s">
        <v>317</v>
      </c>
      <c r="P40" s="25">
        <f>SUM(J40*M40)</f>
        <v>7200000</v>
      </c>
      <c r="Q40" s="49" t="s">
        <v>299</v>
      </c>
    </row>
    <row r="41" spans="1:17" s="183" customFormat="1" ht="17.100000000000001" customHeight="1">
      <c r="A41" s="192"/>
      <c r="B41" s="199"/>
      <c r="C41" s="207"/>
      <c r="D41" s="208"/>
      <c r="E41" s="209"/>
      <c r="F41" s="60"/>
      <c r="G41" s="279"/>
      <c r="H41" s="280"/>
      <c r="I41" s="237" t="s">
        <v>372</v>
      </c>
      <c r="J41" s="238">
        <v>20000</v>
      </c>
      <c r="K41" s="239" t="s">
        <v>299</v>
      </c>
      <c r="L41" s="240" t="s">
        <v>315</v>
      </c>
      <c r="M41" s="239">
        <v>12</v>
      </c>
      <c r="N41" s="239" t="s">
        <v>313</v>
      </c>
      <c r="O41" s="241" t="s">
        <v>317</v>
      </c>
      <c r="P41" s="238">
        <f>SUM(J41*M41)</f>
        <v>240000</v>
      </c>
      <c r="Q41" s="242" t="s">
        <v>299</v>
      </c>
    </row>
    <row r="42" spans="1:17" s="183" customFormat="1" ht="17.100000000000001" customHeight="1">
      <c r="A42" s="192"/>
      <c r="B42" s="199"/>
      <c r="C42" s="100" t="s">
        <v>86</v>
      </c>
      <c r="D42" s="93">
        <v>170000</v>
      </c>
      <c r="E42" s="96">
        <f>+P42/1000</f>
        <v>170000</v>
      </c>
      <c r="F42" s="90">
        <v>90435</v>
      </c>
      <c r="G42" s="98">
        <f>+E42-D42</f>
        <v>0</v>
      </c>
      <c r="H42" s="88">
        <f>+G42/D42*100</f>
        <v>0</v>
      </c>
      <c r="I42" s="266"/>
      <c r="J42" s="20"/>
      <c r="K42" s="68"/>
      <c r="L42" s="68"/>
      <c r="M42" s="120" t="s">
        <v>336</v>
      </c>
      <c r="N42" s="120"/>
      <c r="O42" s="120"/>
      <c r="P42" s="20">
        <f>SUM(P43:P44)</f>
        <v>170000000</v>
      </c>
      <c r="Q42" s="51" t="s">
        <v>299</v>
      </c>
    </row>
    <row r="43" spans="1:17" s="183" customFormat="1" ht="17.100000000000001" customHeight="1">
      <c r="A43" s="192"/>
      <c r="B43" s="199"/>
      <c r="C43" s="101"/>
      <c r="D43" s="94"/>
      <c r="E43" s="97"/>
      <c r="F43" s="91"/>
      <c r="G43" s="99"/>
      <c r="H43" s="89"/>
      <c r="I43" s="269" t="s">
        <v>464</v>
      </c>
      <c r="J43" s="25">
        <v>12500000</v>
      </c>
      <c r="K43" s="28" t="s">
        <v>299</v>
      </c>
      <c r="L43" s="27" t="s">
        <v>315</v>
      </c>
      <c r="M43" s="28">
        <v>12</v>
      </c>
      <c r="N43" s="28" t="s">
        <v>314</v>
      </c>
      <c r="O43" s="48" t="s">
        <v>317</v>
      </c>
      <c r="P43" s="25">
        <f>SUM(J43*M43)</f>
        <v>150000000</v>
      </c>
      <c r="Q43" s="49" t="s">
        <v>299</v>
      </c>
    </row>
    <row r="44" spans="1:17" s="183" customFormat="1" ht="17.100000000000001" customHeight="1">
      <c r="A44" s="192"/>
      <c r="B44" s="199"/>
      <c r="C44" s="101"/>
      <c r="D44" s="94"/>
      <c r="E44" s="97"/>
      <c r="F44" s="59"/>
      <c r="G44" s="99"/>
      <c r="H44" s="89"/>
      <c r="I44" s="269" t="s">
        <v>363</v>
      </c>
      <c r="J44" s="25">
        <v>10000000</v>
      </c>
      <c r="K44" s="28" t="s">
        <v>299</v>
      </c>
      <c r="L44" s="27" t="s">
        <v>315</v>
      </c>
      <c r="M44" s="28">
        <v>2</v>
      </c>
      <c r="N44" s="28" t="s">
        <v>313</v>
      </c>
      <c r="O44" s="48" t="s">
        <v>323</v>
      </c>
      <c r="P44" s="25">
        <f>SUM(J44*M44)</f>
        <v>20000000</v>
      </c>
      <c r="Q44" s="49" t="s">
        <v>299</v>
      </c>
    </row>
    <row r="45" spans="1:17" s="183" customFormat="1" ht="17.100000000000001" customHeight="1">
      <c r="A45" s="171"/>
      <c r="B45" s="263"/>
      <c r="C45" s="100" t="s">
        <v>192</v>
      </c>
      <c r="D45" s="93">
        <v>206000</v>
      </c>
      <c r="E45" s="281">
        <f>(P45/1000)</f>
        <v>174136</v>
      </c>
      <c r="F45" s="58">
        <v>61780</v>
      </c>
      <c r="G45" s="98">
        <f>+E45-D45</f>
        <v>-31864</v>
      </c>
      <c r="H45" s="88">
        <f>G45/D45*100</f>
        <v>-15.467961165048544</v>
      </c>
      <c r="I45" s="282"/>
      <c r="J45" s="267"/>
      <c r="K45" s="68"/>
      <c r="L45" s="68"/>
      <c r="M45" s="120" t="s">
        <v>336</v>
      </c>
      <c r="N45" s="120"/>
      <c r="O45" s="120"/>
      <c r="P45" s="267">
        <f>SUM(P46:P49)</f>
        <v>174136000</v>
      </c>
      <c r="Q45" s="51" t="s">
        <v>299</v>
      </c>
    </row>
    <row r="46" spans="1:17" s="183" customFormat="1" ht="17.100000000000001" customHeight="1">
      <c r="A46" s="171"/>
      <c r="B46" s="263"/>
      <c r="C46" s="101"/>
      <c r="D46" s="94"/>
      <c r="E46" s="283"/>
      <c r="F46" s="59"/>
      <c r="G46" s="99"/>
      <c r="H46" s="89"/>
      <c r="I46" s="269" t="s">
        <v>282</v>
      </c>
      <c r="J46" s="25">
        <v>100000000</v>
      </c>
      <c r="K46" s="28" t="s">
        <v>299</v>
      </c>
      <c r="L46" s="27" t="s">
        <v>315</v>
      </c>
      <c r="M46" s="28">
        <v>1</v>
      </c>
      <c r="N46" s="28" t="s">
        <v>313</v>
      </c>
      <c r="O46" s="48" t="s">
        <v>317</v>
      </c>
      <c r="P46" s="25">
        <f>SUM(J46*M46)</f>
        <v>100000000</v>
      </c>
      <c r="Q46" s="49" t="s">
        <v>299</v>
      </c>
    </row>
    <row r="47" spans="1:17" s="183" customFormat="1" ht="17.100000000000001" customHeight="1">
      <c r="A47" s="171"/>
      <c r="B47" s="263"/>
      <c r="C47" s="101"/>
      <c r="D47" s="94"/>
      <c r="E47" s="283"/>
      <c r="F47" s="59"/>
      <c r="G47" s="99"/>
      <c r="H47" s="89"/>
      <c r="I47" s="269" t="s">
        <v>440</v>
      </c>
      <c r="J47" s="25">
        <v>10000000</v>
      </c>
      <c r="K47" s="28" t="s">
        <v>299</v>
      </c>
      <c r="L47" s="27" t="s">
        <v>315</v>
      </c>
      <c r="M47" s="28">
        <v>1</v>
      </c>
      <c r="N47" s="28" t="s">
        <v>313</v>
      </c>
      <c r="O47" s="48" t="s">
        <v>317</v>
      </c>
      <c r="P47" s="25">
        <f>SUM(J47*M47)</f>
        <v>10000000</v>
      </c>
      <c r="Q47" s="49" t="s">
        <v>299</v>
      </c>
    </row>
    <row r="48" spans="1:17" s="183" customFormat="1" ht="17.100000000000001" customHeight="1">
      <c r="A48" s="192"/>
      <c r="B48" s="199"/>
      <c r="C48" s="101"/>
      <c r="D48" s="94"/>
      <c r="E48" s="283"/>
      <c r="F48" s="59"/>
      <c r="G48" s="99"/>
      <c r="H48" s="89"/>
      <c r="I48" s="234" t="s">
        <v>20</v>
      </c>
      <c r="J48" s="25">
        <v>10000000</v>
      </c>
      <c r="K48" s="28" t="s">
        <v>299</v>
      </c>
      <c r="L48" s="27" t="s">
        <v>315</v>
      </c>
      <c r="M48" s="28">
        <v>3</v>
      </c>
      <c r="N48" s="28" t="s">
        <v>313</v>
      </c>
      <c r="O48" s="48" t="s">
        <v>317</v>
      </c>
      <c r="P48" s="25">
        <f>SUM(J48*M48)</f>
        <v>30000000</v>
      </c>
      <c r="Q48" s="49" t="s">
        <v>299</v>
      </c>
    </row>
    <row r="49" spans="1:17" s="183" customFormat="1" ht="17.100000000000001" customHeight="1">
      <c r="A49" s="284"/>
      <c r="B49" s="285"/>
      <c r="C49" s="286"/>
      <c r="D49" s="287"/>
      <c r="E49" s="288"/>
      <c r="F49" s="289"/>
      <c r="G49" s="290"/>
      <c r="H49" s="291"/>
      <c r="I49" s="292" t="s">
        <v>380</v>
      </c>
      <c r="J49" s="293">
        <v>8534000</v>
      </c>
      <c r="K49" s="294" t="s">
        <v>299</v>
      </c>
      <c r="L49" s="295" t="s">
        <v>315</v>
      </c>
      <c r="M49" s="294">
        <v>4</v>
      </c>
      <c r="N49" s="294" t="s">
        <v>313</v>
      </c>
      <c r="O49" s="296" t="s">
        <v>317</v>
      </c>
      <c r="P49" s="293">
        <f>SUM(J49*M49)</f>
        <v>34136000</v>
      </c>
      <c r="Q49" s="297" t="s">
        <v>299</v>
      </c>
    </row>
    <row r="50" spans="1:17" ht="17.100000000000001" customHeight="1">
      <c r="A50" s="171" t="s">
        <v>306</v>
      </c>
      <c r="B50" s="263" t="s">
        <v>333</v>
      </c>
      <c r="C50" s="54" t="s">
        <v>322</v>
      </c>
      <c r="D50" s="62">
        <f>SUM(D51:D62)</f>
        <v>619650</v>
      </c>
      <c r="E50" s="56">
        <f>SUM(E51:E62)</f>
        <v>625922.78992000013</v>
      </c>
      <c r="F50" s="59">
        <f>SUM(F51:F62)</f>
        <v>624554</v>
      </c>
      <c r="G50" s="230">
        <f>+E50-D50</f>
        <v>6272.7899200001266</v>
      </c>
      <c r="H50" s="298">
        <f>+G50/D50*100</f>
        <v>1.0123117760026026</v>
      </c>
      <c r="I50" s="45"/>
      <c r="J50" s="45"/>
      <c r="K50" s="29"/>
      <c r="L50" s="29"/>
      <c r="M50" s="45"/>
      <c r="N50" s="45"/>
      <c r="O50" s="45"/>
      <c r="P50" s="231">
        <f>SUM(P51,P54)</f>
        <v>625922789.92000008</v>
      </c>
      <c r="Q50" s="32" t="s">
        <v>299</v>
      </c>
    </row>
    <row r="51" spans="1:17" ht="17.100000000000001" customHeight="1">
      <c r="A51" s="192"/>
      <c r="B51" s="263" t="s">
        <v>306</v>
      </c>
      <c r="C51" s="299" t="s">
        <v>155</v>
      </c>
      <c r="D51" s="93">
        <v>32610</v>
      </c>
      <c r="E51" s="96">
        <f>+P51/1000</f>
        <v>30230.29</v>
      </c>
      <c r="F51" s="90">
        <v>72575</v>
      </c>
      <c r="G51" s="98">
        <f>+E51-D51</f>
        <v>-2379.7099999999991</v>
      </c>
      <c r="H51" s="253">
        <f>G51/D51*100</f>
        <v>-7.2974854339159734</v>
      </c>
      <c r="I51" s="266"/>
      <c r="J51" s="20"/>
      <c r="K51" s="68"/>
      <c r="L51" s="68"/>
      <c r="M51" s="120" t="s">
        <v>336</v>
      </c>
      <c r="N51" s="120"/>
      <c r="O51" s="120"/>
      <c r="P51" s="20">
        <f>SUM(P52:P53)</f>
        <v>30230290</v>
      </c>
      <c r="Q51" s="51" t="s">
        <v>299</v>
      </c>
    </row>
    <row r="52" spans="1:17" ht="17.100000000000001" customHeight="1">
      <c r="A52" s="192"/>
      <c r="B52" s="199"/>
      <c r="C52" s="299"/>
      <c r="D52" s="94"/>
      <c r="E52" s="97"/>
      <c r="F52" s="91"/>
      <c r="G52" s="99">
        <f>+D52-E52</f>
        <v>0</v>
      </c>
      <c r="H52" s="255"/>
      <c r="I52" s="269" t="s">
        <v>448</v>
      </c>
      <c r="J52" s="25">
        <v>1461470</v>
      </c>
      <c r="K52" s="28" t="s">
        <v>299</v>
      </c>
      <c r="L52" s="27" t="s">
        <v>315</v>
      </c>
      <c r="M52" s="28">
        <v>7</v>
      </c>
      <c r="N52" s="28" t="s">
        <v>314</v>
      </c>
      <c r="O52" s="48" t="s">
        <v>317</v>
      </c>
      <c r="P52" s="25">
        <f>J52*M52</f>
        <v>10230290</v>
      </c>
      <c r="Q52" s="49" t="s">
        <v>299</v>
      </c>
    </row>
    <row r="53" spans="1:17" ht="17.100000000000001" customHeight="1">
      <c r="A53" s="192"/>
      <c r="B53" s="199"/>
      <c r="C53" s="299"/>
      <c r="D53" s="208"/>
      <c r="E53" s="209"/>
      <c r="F53" s="92"/>
      <c r="G53" s="279"/>
      <c r="H53" s="300"/>
      <c r="I53" s="301" t="s">
        <v>36</v>
      </c>
      <c r="J53" s="238">
        <v>100000</v>
      </c>
      <c r="K53" s="239" t="s">
        <v>299</v>
      </c>
      <c r="L53" s="240" t="s">
        <v>315</v>
      </c>
      <c r="M53" s="302">
        <v>200</v>
      </c>
      <c r="N53" s="239" t="s">
        <v>313</v>
      </c>
      <c r="O53" s="241" t="s">
        <v>317</v>
      </c>
      <c r="P53" s="238">
        <f>J53*M53</f>
        <v>20000000</v>
      </c>
      <c r="Q53" s="242" t="s">
        <v>299</v>
      </c>
    </row>
    <row r="54" spans="1:17" ht="17.100000000000001" customHeight="1">
      <c r="A54" s="171" t="s">
        <v>306</v>
      </c>
      <c r="B54" s="263" t="s">
        <v>333</v>
      </c>
      <c r="C54" s="303" t="s">
        <v>224</v>
      </c>
      <c r="D54" s="93">
        <v>587040</v>
      </c>
      <c r="E54" s="96">
        <f>+P54/1000</f>
        <v>595692.49992000009</v>
      </c>
      <c r="F54" s="90">
        <v>551979</v>
      </c>
      <c r="G54" s="98">
        <f>+E54-D54</f>
        <v>8652.4999200000893</v>
      </c>
      <c r="H54" s="88">
        <f>+G54/D54*100</f>
        <v>1.4739199918234005</v>
      </c>
      <c r="I54" s="266"/>
      <c r="J54" s="20"/>
      <c r="K54" s="68"/>
      <c r="L54" s="68"/>
      <c r="M54" s="68" t="s">
        <v>336</v>
      </c>
      <c r="N54" s="68"/>
      <c r="O54" s="68"/>
      <c r="P54" s="20">
        <f>SUM(P55:P62)</f>
        <v>595692499.92000008</v>
      </c>
      <c r="Q54" s="51" t="s">
        <v>299</v>
      </c>
    </row>
    <row r="55" spans="1:17" ht="17.100000000000001" customHeight="1">
      <c r="A55" s="171"/>
      <c r="B55" s="263" t="s">
        <v>306</v>
      </c>
      <c r="C55" s="299"/>
      <c r="D55" s="94"/>
      <c r="E55" s="97"/>
      <c r="F55" s="91"/>
      <c r="G55" s="99">
        <f>+D55-E55</f>
        <v>0</v>
      </c>
      <c r="H55" s="89" t="e">
        <f>+G55/D55*100</f>
        <v>#DIV/0!</v>
      </c>
      <c r="I55" s="269" t="s">
        <v>218</v>
      </c>
      <c r="J55" s="25">
        <v>16666666.66</v>
      </c>
      <c r="K55" s="28" t="s">
        <v>299</v>
      </c>
      <c r="L55" s="27" t="s">
        <v>315</v>
      </c>
      <c r="M55" s="28">
        <v>12</v>
      </c>
      <c r="N55" s="28" t="s">
        <v>314</v>
      </c>
      <c r="O55" s="48" t="s">
        <v>317</v>
      </c>
      <c r="P55" s="25">
        <f>J55*M55</f>
        <v>199999999.92000002</v>
      </c>
      <c r="Q55" s="49" t="s">
        <v>299</v>
      </c>
    </row>
    <row r="56" spans="1:17" ht="17.100000000000001" customHeight="1">
      <c r="A56" s="192"/>
      <c r="B56" s="199"/>
      <c r="C56" s="100"/>
      <c r="D56" s="94"/>
      <c r="E56" s="97"/>
      <c r="F56" s="91"/>
      <c r="G56" s="99"/>
      <c r="H56" s="89" t="e">
        <f>+G56/D56*100</f>
        <v>#DIV/0!</v>
      </c>
      <c r="I56" s="269" t="s">
        <v>335</v>
      </c>
      <c r="J56" s="25">
        <v>23200000</v>
      </c>
      <c r="K56" s="28" t="s">
        <v>299</v>
      </c>
      <c r="L56" s="27" t="s">
        <v>315</v>
      </c>
      <c r="M56" s="28">
        <v>12</v>
      </c>
      <c r="N56" s="28" t="s">
        <v>314</v>
      </c>
      <c r="O56" s="48" t="s">
        <v>317</v>
      </c>
      <c r="P56" s="25">
        <f>SUM(J56*M56)</f>
        <v>278400000</v>
      </c>
      <c r="Q56" s="49" t="s">
        <v>299</v>
      </c>
    </row>
    <row r="57" spans="1:17" ht="17.100000000000001" customHeight="1">
      <c r="A57" s="192"/>
      <c r="B57" s="199"/>
      <c r="C57" s="100"/>
      <c r="D57" s="94"/>
      <c r="E57" s="97"/>
      <c r="F57" s="91"/>
      <c r="G57" s="99"/>
      <c r="H57" s="89"/>
      <c r="I57" s="26" t="s">
        <v>283</v>
      </c>
      <c r="J57" s="25">
        <v>2000000</v>
      </c>
      <c r="K57" s="28" t="s">
        <v>299</v>
      </c>
      <c r="L57" s="27" t="s">
        <v>315</v>
      </c>
      <c r="M57" s="28">
        <v>12</v>
      </c>
      <c r="N57" s="28" t="s">
        <v>313</v>
      </c>
      <c r="O57" s="48" t="s">
        <v>317</v>
      </c>
      <c r="P57" s="25">
        <f>SUM(J57*M57)</f>
        <v>24000000</v>
      </c>
      <c r="Q57" s="49" t="s">
        <v>299</v>
      </c>
    </row>
    <row r="58" spans="1:17" ht="17.100000000000001" customHeight="1">
      <c r="A58" s="192"/>
      <c r="B58" s="199"/>
      <c r="C58" s="100"/>
      <c r="D58" s="94"/>
      <c r="E58" s="97"/>
      <c r="F58" s="91"/>
      <c r="G58" s="99"/>
      <c r="H58" s="89"/>
      <c r="I58" s="26" t="s">
        <v>293</v>
      </c>
      <c r="J58" s="25">
        <v>2100000</v>
      </c>
      <c r="K58" s="28" t="s">
        <v>299</v>
      </c>
      <c r="L58" s="27" t="s">
        <v>315</v>
      </c>
      <c r="M58" s="28">
        <v>12</v>
      </c>
      <c r="N58" s="28" t="s">
        <v>313</v>
      </c>
      <c r="O58" s="48" t="s">
        <v>317</v>
      </c>
      <c r="P58" s="25">
        <f>SUM(J58*M58)</f>
        <v>25200000</v>
      </c>
      <c r="Q58" s="49" t="s">
        <v>299</v>
      </c>
    </row>
    <row r="59" spans="1:17" ht="17.100000000000001" customHeight="1">
      <c r="A59" s="192"/>
      <c r="B59" s="199"/>
      <c r="C59" s="100"/>
      <c r="D59" s="94"/>
      <c r="E59" s="97"/>
      <c r="F59" s="91"/>
      <c r="G59" s="99"/>
      <c r="H59" s="89"/>
      <c r="I59" s="269" t="s">
        <v>125</v>
      </c>
      <c r="J59" s="25">
        <v>1300000</v>
      </c>
      <c r="K59" s="28" t="s">
        <v>299</v>
      </c>
      <c r="L59" s="27" t="s">
        <v>315</v>
      </c>
      <c r="M59" s="28">
        <v>12</v>
      </c>
      <c r="N59" s="28" t="s">
        <v>313</v>
      </c>
      <c r="O59" s="48" t="s">
        <v>317</v>
      </c>
      <c r="P59" s="25">
        <f>SUM(J59*M59)</f>
        <v>15600000</v>
      </c>
      <c r="Q59" s="304" t="s">
        <v>299</v>
      </c>
    </row>
    <row r="60" spans="1:17" ht="17.100000000000001" customHeight="1">
      <c r="A60" s="192"/>
      <c r="B60" s="199"/>
      <c r="C60" s="100"/>
      <c r="D60" s="94"/>
      <c r="E60" s="97"/>
      <c r="F60" s="91"/>
      <c r="G60" s="99"/>
      <c r="H60" s="89"/>
      <c r="I60" s="269" t="s">
        <v>203</v>
      </c>
      <c r="J60" s="25">
        <v>47452500</v>
      </c>
      <c r="K60" s="28" t="s">
        <v>299</v>
      </c>
      <c r="L60" s="27" t="s">
        <v>315</v>
      </c>
      <c r="M60" s="28">
        <v>1</v>
      </c>
      <c r="N60" s="28" t="s">
        <v>313</v>
      </c>
      <c r="O60" s="48" t="s">
        <v>317</v>
      </c>
      <c r="P60" s="25">
        <f>J60*M60</f>
        <v>47452500</v>
      </c>
      <c r="Q60" s="304" t="s">
        <v>299</v>
      </c>
    </row>
    <row r="61" spans="1:17" ht="17.100000000000001" customHeight="1">
      <c r="A61" s="192"/>
      <c r="B61" s="199"/>
      <c r="C61" s="100"/>
      <c r="D61" s="94"/>
      <c r="E61" s="97"/>
      <c r="F61" s="91"/>
      <c r="G61" s="99"/>
      <c r="H61" s="89" t="e">
        <f>+G61/D61*100</f>
        <v>#DIV/0!</v>
      </c>
      <c r="I61" s="269" t="s">
        <v>186</v>
      </c>
      <c r="J61" s="25">
        <v>300000</v>
      </c>
      <c r="K61" s="28" t="s">
        <v>299</v>
      </c>
      <c r="L61" s="27" t="s">
        <v>315</v>
      </c>
      <c r="M61" s="28">
        <v>12</v>
      </c>
      <c r="N61" s="28" t="s">
        <v>313</v>
      </c>
      <c r="O61" s="48" t="s">
        <v>317</v>
      </c>
      <c r="P61" s="25">
        <f>SUM(J61*M61)</f>
        <v>3600000</v>
      </c>
      <c r="Q61" s="304" t="s">
        <v>299</v>
      </c>
    </row>
    <row r="62" spans="1:17" ht="17.100000000000001" customHeight="1">
      <c r="A62" s="192"/>
      <c r="B62" s="199"/>
      <c r="C62" s="100"/>
      <c r="D62" s="94"/>
      <c r="E62" s="97"/>
      <c r="F62" s="91"/>
      <c r="G62" s="99"/>
      <c r="H62" s="89"/>
      <c r="I62" s="234" t="s">
        <v>16</v>
      </c>
      <c r="J62" s="25">
        <v>120000</v>
      </c>
      <c r="K62" s="28" t="s">
        <v>299</v>
      </c>
      <c r="L62" s="27" t="s">
        <v>315</v>
      </c>
      <c r="M62" s="28">
        <v>12</v>
      </c>
      <c r="N62" s="28" t="s">
        <v>313</v>
      </c>
      <c r="O62" s="48" t="s">
        <v>317</v>
      </c>
      <c r="P62" s="25">
        <f>J62*M62</f>
        <v>1440000</v>
      </c>
      <c r="Q62" s="49" t="s">
        <v>299</v>
      </c>
    </row>
    <row r="63" spans="1:17" ht="18.95" customHeight="1">
      <c r="A63" s="256" t="s">
        <v>320</v>
      </c>
      <c r="B63" s="217" t="s">
        <v>311</v>
      </c>
      <c r="C63" s="218"/>
      <c r="D63" s="219">
        <f>SUM(D64)</f>
        <v>1722232</v>
      </c>
      <c r="E63" s="220">
        <f>SUM(E64)</f>
        <v>1914476.10984</v>
      </c>
      <c r="F63" s="243">
        <f>SUM(F64)</f>
        <v>875385</v>
      </c>
      <c r="G63" s="222">
        <f>+E63-D63</f>
        <v>192244.10984000005</v>
      </c>
      <c r="H63" s="223">
        <f>+G63/D63*100</f>
        <v>11.162497842334833</v>
      </c>
      <c r="I63" s="224"/>
      <c r="J63" s="224"/>
      <c r="K63" s="225"/>
      <c r="L63" s="225"/>
      <c r="M63" s="224"/>
      <c r="N63" s="224"/>
      <c r="O63" s="224"/>
      <c r="P63" s="226">
        <f>P64</f>
        <v>1914476109.8400002</v>
      </c>
      <c r="Q63" s="227" t="s">
        <v>299</v>
      </c>
    </row>
    <row r="64" spans="1:17" ht="17.100000000000001" customHeight="1">
      <c r="A64" s="192"/>
      <c r="B64" s="263" t="s">
        <v>320</v>
      </c>
      <c r="C64" s="246" t="s">
        <v>322</v>
      </c>
      <c r="D64" s="247">
        <f>SUM(D65:D78)</f>
        <v>1722232</v>
      </c>
      <c r="E64" s="305">
        <f>P64/1000</f>
        <v>1914476.10984</v>
      </c>
      <c r="F64" s="306">
        <f>SUM(F65:F67)</f>
        <v>875385</v>
      </c>
      <c r="G64" s="187">
        <f>+E64-D64</f>
        <v>192244.10984000005</v>
      </c>
      <c r="H64" s="188">
        <f>+G64/D64*100</f>
        <v>11.162497842334833</v>
      </c>
      <c r="I64" s="45"/>
      <c r="J64" s="45"/>
      <c r="K64" s="29"/>
      <c r="L64" s="29"/>
      <c r="M64" s="45"/>
      <c r="N64" s="45"/>
      <c r="O64" s="45"/>
      <c r="P64" s="231">
        <f>SUM(P65,P68,P71,P74)</f>
        <v>1914476109.8400002</v>
      </c>
      <c r="Q64" s="32" t="s">
        <v>299</v>
      </c>
    </row>
    <row r="65" spans="1:17" ht="17.100000000000001" customHeight="1">
      <c r="A65" s="192"/>
      <c r="B65" s="199"/>
      <c r="C65" s="100" t="s">
        <v>64</v>
      </c>
      <c r="D65" s="93">
        <v>780056</v>
      </c>
      <c r="E65" s="96">
        <f>+P65/1000</f>
        <v>780055.99991999997</v>
      </c>
      <c r="F65" s="90">
        <v>875385</v>
      </c>
      <c r="G65" s="98">
        <f>+E65-D65</f>
        <v>-8.000002708286047E-5</v>
      </c>
      <c r="H65" s="88">
        <f>+G65/D65*100</f>
        <v>-1.0255677423526065E-8</v>
      </c>
      <c r="I65" s="197"/>
      <c r="J65" s="198"/>
      <c r="K65" s="66"/>
      <c r="L65" s="66"/>
      <c r="M65" s="118" t="s">
        <v>336</v>
      </c>
      <c r="N65" s="118"/>
      <c r="O65" s="118"/>
      <c r="P65" s="198">
        <f>SUM(P66:P67)</f>
        <v>780055999.91999996</v>
      </c>
      <c r="Q65" s="18" t="s">
        <v>299</v>
      </c>
    </row>
    <row r="66" spans="1:17" ht="17.100000000000001" customHeight="1">
      <c r="A66" s="192"/>
      <c r="B66" s="199"/>
      <c r="C66" s="101"/>
      <c r="D66" s="94"/>
      <c r="E66" s="97"/>
      <c r="F66" s="91"/>
      <c r="G66" s="99">
        <f>+E66-D66</f>
        <v>0</v>
      </c>
      <c r="H66" s="89"/>
      <c r="I66" s="206" t="s">
        <v>28</v>
      </c>
      <c r="J66" s="215">
        <v>13338000</v>
      </c>
      <c r="K66" s="29" t="s">
        <v>299</v>
      </c>
      <c r="L66" s="46" t="s">
        <v>315</v>
      </c>
      <c r="M66" s="29">
        <v>12</v>
      </c>
      <c r="N66" s="29" t="s">
        <v>314</v>
      </c>
      <c r="O66" s="30" t="s">
        <v>317</v>
      </c>
      <c r="P66" s="215">
        <f>J66*M66</f>
        <v>160056000</v>
      </c>
      <c r="Q66" s="32" t="s">
        <v>299</v>
      </c>
    </row>
    <row r="67" spans="1:17" ht="17.100000000000001" customHeight="1">
      <c r="A67" s="192"/>
      <c r="B67" s="199"/>
      <c r="C67" s="207"/>
      <c r="D67" s="208"/>
      <c r="E67" s="209"/>
      <c r="F67" s="92"/>
      <c r="G67" s="279">
        <f>+E67-D67</f>
        <v>0</v>
      </c>
      <c r="H67" s="280"/>
      <c r="I67" s="307" t="s">
        <v>22</v>
      </c>
      <c r="J67" s="212">
        <v>51666666.659999996</v>
      </c>
      <c r="K67" s="41" t="s">
        <v>299</v>
      </c>
      <c r="L67" s="40" t="s">
        <v>315</v>
      </c>
      <c r="M67" s="41">
        <v>12</v>
      </c>
      <c r="N67" s="41" t="s">
        <v>313</v>
      </c>
      <c r="O67" s="42" t="s">
        <v>317</v>
      </c>
      <c r="P67" s="212">
        <f>SUM(J67*M67)</f>
        <v>619999999.91999996</v>
      </c>
      <c r="Q67" s="43" t="s">
        <v>299</v>
      </c>
    </row>
    <row r="68" spans="1:17" ht="17.100000000000001" customHeight="1">
      <c r="A68" s="192"/>
      <c r="B68" s="199"/>
      <c r="C68" s="100" t="s">
        <v>59</v>
      </c>
      <c r="D68" s="93">
        <v>295376</v>
      </c>
      <c r="E68" s="96">
        <f>+P68/1000</f>
        <v>295376.11</v>
      </c>
      <c r="F68" s="90">
        <v>593059</v>
      </c>
      <c r="G68" s="98">
        <f>E68-D68</f>
        <v>0.10999999998603016</v>
      </c>
      <c r="H68" s="88">
        <f>+G68/D68*100</f>
        <v>3.7240669514798144E-5</v>
      </c>
      <c r="I68" s="197"/>
      <c r="J68" s="23"/>
      <c r="K68" s="66"/>
      <c r="L68" s="66"/>
      <c r="M68" s="118" t="s">
        <v>336</v>
      </c>
      <c r="N68" s="118"/>
      <c r="O68" s="118"/>
      <c r="P68" s="23">
        <f>SUM(P69:P70)</f>
        <v>295376110</v>
      </c>
      <c r="Q68" s="18" t="s">
        <v>299</v>
      </c>
    </row>
    <row r="69" spans="1:17" ht="17.100000000000001" customHeight="1">
      <c r="A69" s="192"/>
      <c r="B69" s="54"/>
      <c r="C69" s="101"/>
      <c r="D69" s="94"/>
      <c r="E69" s="97"/>
      <c r="F69" s="91"/>
      <c r="G69" s="99"/>
      <c r="H69" s="89"/>
      <c r="I69" s="26" t="s">
        <v>402</v>
      </c>
      <c r="J69" s="25">
        <v>56773360</v>
      </c>
      <c r="K69" s="29" t="s">
        <v>299</v>
      </c>
      <c r="L69" s="46" t="s">
        <v>315</v>
      </c>
      <c r="M69" s="29">
        <v>1</v>
      </c>
      <c r="N69" s="29" t="s">
        <v>313</v>
      </c>
      <c r="O69" s="308" t="s">
        <v>317</v>
      </c>
      <c r="P69" s="31">
        <f>SUM(J69*M69)</f>
        <v>56773360</v>
      </c>
      <c r="Q69" s="32" t="s">
        <v>299</v>
      </c>
    </row>
    <row r="70" spans="1:17" ht="17.100000000000001" customHeight="1">
      <c r="A70" s="192"/>
      <c r="B70" s="54"/>
      <c r="C70" s="207"/>
      <c r="D70" s="208"/>
      <c r="E70" s="209"/>
      <c r="F70" s="92"/>
      <c r="G70" s="279"/>
      <c r="H70" s="280"/>
      <c r="I70" s="301" t="s">
        <v>396</v>
      </c>
      <c r="J70" s="238">
        <v>238602750</v>
      </c>
      <c r="K70" s="239" t="s">
        <v>299</v>
      </c>
      <c r="L70" s="240" t="s">
        <v>315</v>
      </c>
      <c r="M70" s="239">
        <v>1</v>
      </c>
      <c r="N70" s="239" t="s">
        <v>313</v>
      </c>
      <c r="O70" s="241" t="s">
        <v>317</v>
      </c>
      <c r="P70" s="238">
        <f>SUM(J70*M70)</f>
        <v>238602750</v>
      </c>
      <c r="Q70" s="242" t="s">
        <v>299</v>
      </c>
    </row>
    <row r="71" spans="1:17" ht="17.100000000000001" customHeight="1">
      <c r="A71" s="171"/>
      <c r="B71" s="263"/>
      <c r="C71" s="213" t="s">
        <v>73</v>
      </c>
      <c r="D71" s="93">
        <v>480000</v>
      </c>
      <c r="E71" s="96">
        <f>+P71/1000</f>
        <v>590000</v>
      </c>
      <c r="F71" s="90">
        <v>538723</v>
      </c>
      <c r="G71" s="98">
        <f>+E71-D71</f>
        <v>110000</v>
      </c>
      <c r="H71" s="88">
        <f>+G71/D71*100</f>
        <v>22.916666666666664</v>
      </c>
      <c r="I71" s="197"/>
      <c r="J71" s="20"/>
      <c r="K71" s="68"/>
      <c r="L71" s="68"/>
      <c r="M71" s="120" t="s">
        <v>336</v>
      </c>
      <c r="N71" s="120"/>
      <c r="O71" s="120"/>
      <c r="P71" s="20">
        <f>SUM(P72:P73)</f>
        <v>590000000</v>
      </c>
      <c r="Q71" s="51" t="s">
        <v>299</v>
      </c>
    </row>
    <row r="72" spans="1:17" ht="17.100000000000001" customHeight="1">
      <c r="A72" s="192"/>
      <c r="B72" s="54"/>
      <c r="C72" s="214"/>
      <c r="D72" s="94"/>
      <c r="E72" s="97"/>
      <c r="F72" s="91"/>
      <c r="G72" s="99"/>
      <c r="H72" s="89"/>
      <c r="I72" s="26" t="s">
        <v>482</v>
      </c>
      <c r="J72" s="25">
        <v>175000000</v>
      </c>
      <c r="K72" s="28" t="s">
        <v>299</v>
      </c>
      <c r="L72" s="27" t="s">
        <v>315</v>
      </c>
      <c r="M72" s="28">
        <v>2</v>
      </c>
      <c r="N72" s="28" t="s">
        <v>313</v>
      </c>
      <c r="O72" s="48" t="s">
        <v>317</v>
      </c>
      <c r="P72" s="25">
        <f>SUM(J72*M72)</f>
        <v>350000000</v>
      </c>
      <c r="Q72" s="49" t="s">
        <v>299</v>
      </c>
    </row>
    <row r="73" spans="1:17" ht="17.100000000000001" customHeight="1">
      <c r="A73" s="192"/>
      <c r="B73" s="54"/>
      <c r="C73" s="310"/>
      <c r="D73" s="208"/>
      <c r="E73" s="209"/>
      <c r="F73" s="92"/>
      <c r="G73" s="279">
        <f>+D73-E73</f>
        <v>0</v>
      </c>
      <c r="H73" s="280"/>
      <c r="I73" s="237" t="s">
        <v>476</v>
      </c>
      <c r="J73" s="238">
        <v>60000000</v>
      </c>
      <c r="K73" s="239" t="s">
        <v>299</v>
      </c>
      <c r="L73" s="240" t="s">
        <v>315</v>
      </c>
      <c r="M73" s="239">
        <v>4</v>
      </c>
      <c r="N73" s="239" t="s">
        <v>313</v>
      </c>
      <c r="O73" s="241" t="s">
        <v>317</v>
      </c>
      <c r="P73" s="238">
        <f>SUM(J73*M73)</f>
        <v>240000000</v>
      </c>
      <c r="Q73" s="242" t="s">
        <v>299</v>
      </c>
    </row>
    <row r="74" spans="1:17" ht="17.100000000000001" customHeight="1">
      <c r="A74" s="171"/>
      <c r="B74" s="311"/>
      <c r="C74" s="100" t="s">
        <v>62</v>
      </c>
      <c r="D74" s="93">
        <v>166800</v>
      </c>
      <c r="E74" s="96">
        <f>+P74/1000</f>
        <v>249043.99992000003</v>
      </c>
      <c r="F74" s="90">
        <v>22522</v>
      </c>
      <c r="G74" s="98">
        <f>+E74-D74</f>
        <v>82243.999920000031</v>
      </c>
      <c r="H74" s="88">
        <f>+G74/D74*100</f>
        <v>49.306954388489224</v>
      </c>
      <c r="I74" s="197"/>
      <c r="J74" s="267"/>
      <c r="K74" s="68"/>
      <c r="L74" s="68"/>
      <c r="M74" s="120" t="s">
        <v>336</v>
      </c>
      <c r="N74" s="120"/>
      <c r="O74" s="120"/>
      <c r="P74" s="267">
        <f>SUM(P75:P78)</f>
        <v>249043999.92000002</v>
      </c>
      <c r="Q74" s="51" t="s">
        <v>299</v>
      </c>
    </row>
    <row r="75" spans="1:17" ht="17.100000000000001" customHeight="1">
      <c r="A75" s="192"/>
      <c r="B75" s="54"/>
      <c r="C75" s="101"/>
      <c r="D75" s="94"/>
      <c r="E75" s="97"/>
      <c r="F75" s="91"/>
      <c r="G75" s="99"/>
      <c r="H75" s="89"/>
      <c r="I75" s="312" t="s">
        <v>18</v>
      </c>
      <c r="J75" s="25">
        <v>6689166.6600000001</v>
      </c>
      <c r="K75" s="28" t="s">
        <v>299</v>
      </c>
      <c r="L75" s="27" t="s">
        <v>315</v>
      </c>
      <c r="M75" s="28">
        <v>12</v>
      </c>
      <c r="N75" s="28" t="s">
        <v>314</v>
      </c>
      <c r="O75" s="48" t="s">
        <v>317</v>
      </c>
      <c r="P75" s="25">
        <f>SUM(J75*M75)</f>
        <v>80269999.920000002</v>
      </c>
      <c r="Q75" s="49" t="s">
        <v>299</v>
      </c>
    </row>
    <row r="76" spans="1:17" ht="17.100000000000001" customHeight="1">
      <c r="A76" s="192"/>
      <c r="B76" s="54"/>
      <c r="C76" s="101"/>
      <c r="D76" s="94"/>
      <c r="E76" s="97"/>
      <c r="F76" s="200"/>
      <c r="G76" s="99"/>
      <c r="H76" s="89"/>
      <c r="I76" s="312" t="s">
        <v>394</v>
      </c>
      <c r="J76" s="25">
        <v>8810000</v>
      </c>
      <c r="K76" s="28" t="s">
        <v>299</v>
      </c>
      <c r="L76" s="27" t="s">
        <v>315</v>
      </c>
      <c r="M76" s="28">
        <v>12</v>
      </c>
      <c r="N76" s="28" t="s">
        <v>313</v>
      </c>
      <c r="O76" s="48" t="s">
        <v>317</v>
      </c>
      <c r="P76" s="25">
        <f>SUM(J76*M76)</f>
        <v>105720000</v>
      </c>
      <c r="Q76" s="49" t="s">
        <v>299</v>
      </c>
    </row>
    <row r="77" spans="1:17" ht="17.100000000000001" customHeight="1">
      <c r="A77" s="192"/>
      <c r="B77" s="54"/>
      <c r="C77" s="101"/>
      <c r="D77" s="94"/>
      <c r="E77" s="97"/>
      <c r="F77" s="200"/>
      <c r="G77" s="99"/>
      <c r="H77" s="89"/>
      <c r="I77" s="312" t="s">
        <v>393</v>
      </c>
      <c r="J77" s="25">
        <v>23200000</v>
      </c>
      <c r="K77" s="28" t="s">
        <v>299</v>
      </c>
      <c r="L77" s="27" t="s">
        <v>315</v>
      </c>
      <c r="M77" s="28">
        <v>1</v>
      </c>
      <c r="N77" s="28" t="s">
        <v>313</v>
      </c>
      <c r="O77" s="48" t="s">
        <v>317</v>
      </c>
      <c r="P77" s="25">
        <f>SUM(J77*M77)</f>
        <v>23200000</v>
      </c>
      <c r="Q77" s="49" t="s">
        <v>299</v>
      </c>
    </row>
    <row r="78" spans="1:17" ht="17.100000000000001" customHeight="1">
      <c r="A78" s="313"/>
      <c r="B78" s="314"/>
      <c r="C78" s="207"/>
      <c r="D78" s="208"/>
      <c r="E78" s="209"/>
      <c r="F78" s="205"/>
      <c r="G78" s="279"/>
      <c r="H78" s="280"/>
      <c r="I78" s="315" t="s">
        <v>483</v>
      </c>
      <c r="J78" s="238">
        <v>39854000</v>
      </c>
      <c r="K78" s="239" t="s">
        <v>299</v>
      </c>
      <c r="L78" s="240" t="s">
        <v>315</v>
      </c>
      <c r="M78" s="239">
        <v>1</v>
      </c>
      <c r="N78" s="239" t="s">
        <v>313</v>
      </c>
      <c r="O78" s="241" t="s">
        <v>317</v>
      </c>
      <c r="P78" s="238">
        <f>SUM(J78*M78)</f>
        <v>39854000</v>
      </c>
      <c r="Q78" s="242" t="s">
        <v>299</v>
      </c>
    </row>
    <row r="79" spans="1:17" ht="18.95" customHeight="1">
      <c r="A79" s="256" t="s">
        <v>342</v>
      </c>
      <c r="B79" s="217" t="s">
        <v>311</v>
      </c>
      <c r="C79" s="218"/>
      <c r="D79" s="219">
        <f>SUM(D80)</f>
        <v>4759083</v>
      </c>
      <c r="E79" s="220">
        <f>SUM(E80)</f>
        <v>4769082.949</v>
      </c>
      <c r="F79" s="243">
        <f>SUM(F80)</f>
        <v>1596860</v>
      </c>
      <c r="G79" s="222">
        <f>+E79-D79</f>
        <v>9999.9490000000224</v>
      </c>
      <c r="H79" s="223">
        <f t="shared" ref="H79:H91" si="4">+G79/D79*100</f>
        <v>0.21012344184793633</v>
      </c>
      <c r="I79" s="224"/>
      <c r="J79" s="224"/>
      <c r="K79" s="225"/>
      <c r="L79" s="225"/>
      <c r="M79" s="224"/>
      <c r="N79" s="224"/>
      <c r="O79" s="224"/>
      <c r="P79" s="226">
        <f>SUM(P80)</f>
        <v>4769082949</v>
      </c>
      <c r="Q79" s="227" t="s">
        <v>299</v>
      </c>
    </row>
    <row r="80" spans="1:17" ht="17.100000000000001" customHeight="1">
      <c r="A80" s="192"/>
      <c r="B80" s="316" t="s">
        <v>342</v>
      </c>
      <c r="C80" s="53" t="s">
        <v>322</v>
      </c>
      <c r="D80" s="61">
        <f>SUM(D81:D83)</f>
        <v>4759083</v>
      </c>
      <c r="E80" s="317">
        <f>SUM(E81:E83)</f>
        <v>4769082.949</v>
      </c>
      <c r="F80" s="318">
        <f>SUM(F81:F83)</f>
        <v>1596860</v>
      </c>
      <c r="G80" s="187">
        <f>E80-D80</f>
        <v>9999.9490000000224</v>
      </c>
      <c r="H80" s="188">
        <f t="shared" si="4"/>
        <v>0.21012344184793633</v>
      </c>
      <c r="I80" s="35" t="s">
        <v>330</v>
      </c>
      <c r="J80" s="224" t="s">
        <v>330</v>
      </c>
      <c r="K80" s="66"/>
      <c r="L80" s="66"/>
      <c r="M80" s="35"/>
      <c r="N80" s="319" t="s">
        <v>336</v>
      </c>
      <c r="O80" s="319"/>
      <c r="P80" s="191">
        <f>SUM(P81:P83)</f>
        <v>4769082949</v>
      </c>
      <c r="Q80" s="18" t="s">
        <v>299</v>
      </c>
    </row>
    <row r="81" spans="1:17" ht="17.100000000000001" customHeight="1">
      <c r="A81" s="192"/>
      <c r="B81" s="199"/>
      <c r="C81" s="320" t="s">
        <v>260</v>
      </c>
      <c r="D81" s="321">
        <v>1954175</v>
      </c>
      <c r="E81" s="322">
        <f>+P81/1000</f>
        <v>1954174.817</v>
      </c>
      <c r="F81" s="323">
        <v>313065</v>
      </c>
      <c r="G81" s="187">
        <f>E81-D81</f>
        <v>-0.18299999996088445</v>
      </c>
      <c r="H81" s="188">
        <f t="shared" si="4"/>
        <v>-9.3645656075266778E-6</v>
      </c>
      <c r="I81" s="324" t="s">
        <v>260</v>
      </c>
      <c r="J81" s="325">
        <v>1954174817</v>
      </c>
      <c r="K81" s="224" t="s">
        <v>299</v>
      </c>
      <c r="L81" s="326" t="s">
        <v>315</v>
      </c>
      <c r="M81" s="225">
        <v>1</v>
      </c>
      <c r="N81" s="225" t="s">
        <v>313</v>
      </c>
      <c r="O81" s="327" t="s">
        <v>317</v>
      </c>
      <c r="P81" s="328">
        <f>+J81*M81</f>
        <v>1954174817</v>
      </c>
      <c r="Q81" s="252" t="s">
        <v>299</v>
      </c>
    </row>
    <row r="82" spans="1:17" ht="17.100000000000001" customHeight="1">
      <c r="A82" s="192"/>
      <c r="B82" s="199"/>
      <c r="C82" s="320" t="s">
        <v>100</v>
      </c>
      <c r="D82" s="247">
        <v>810905</v>
      </c>
      <c r="E82" s="322">
        <f>+P82/1000</f>
        <v>820905.10699999996</v>
      </c>
      <c r="F82" s="323">
        <v>1283795</v>
      </c>
      <c r="G82" s="187">
        <f>E82-D82</f>
        <v>10000.10699999996</v>
      </c>
      <c r="H82" s="188">
        <f t="shared" si="4"/>
        <v>1.2332032728864615</v>
      </c>
      <c r="I82" s="324" t="s">
        <v>100</v>
      </c>
      <c r="J82" s="325">
        <v>820905107</v>
      </c>
      <c r="K82" s="224" t="s">
        <v>299</v>
      </c>
      <c r="L82" s="326" t="s">
        <v>315</v>
      </c>
      <c r="M82" s="225">
        <v>1</v>
      </c>
      <c r="N82" s="225" t="s">
        <v>313</v>
      </c>
      <c r="O82" s="327" t="s">
        <v>317</v>
      </c>
      <c r="P82" s="328">
        <f>+J82*M82</f>
        <v>820905107</v>
      </c>
      <c r="Q82" s="252" t="s">
        <v>299</v>
      </c>
    </row>
    <row r="83" spans="1:17" ht="17.100000000000001" customHeight="1">
      <c r="A83" s="192"/>
      <c r="B83" s="199" t="s">
        <v>330</v>
      </c>
      <c r="C83" s="53" t="s">
        <v>137</v>
      </c>
      <c r="D83" s="247">
        <v>1994003</v>
      </c>
      <c r="E83" s="322">
        <f>+P83/1000</f>
        <v>1994003.0249999999</v>
      </c>
      <c r="F83" s="323">
        <v>0</v>
      </c>
      <c r="G83" s="187">
        <f>E83-D83</f>
        <v>2.4999999906867743E-2</v>
      </c>
      <c r="H83" s="188">
        <f t="shared" si="4"/>
        <v>1.2537593928829468E-6</v>
      </c>
      <c r="I83" s="197" t="s">
        <v>137</v>
      </c>
      <c r="J83" s="325">
        <v>1994003025</v>
      </c>
      <c r="K83" s="35" t="s">
        <v>299</v>
      </c>
      <c r="L83" s="36" t="s">
        <v>315</v>
      </c>
      <c r="M83" s="66">
        <v>1</v>
      </c>
      <c r="N83" s="66" t="s">
        <v>313</v>
      </c>
      <c r="O83" s="329" t="s">
        <v>317</v>
      </c>
      <c r="P83" s="23">
        <f>+J83*M83</f>
        <v>1994003025</v>
      </c>
      <c r="Q83" s="18" t="s">
        <v>299</v>
      </c>
    </row>
    <row r="84" spans="1:17" ht="18.95" customHeight="1">
      <c r="A84" s="256" t="s">
        <v>340</v>
      </c>
      <c r="B84" s="218" t="s">
        <v>311</v>
      </c>
      <c r="C84" s="257"/>
      <c r="D84" s="330">
        <f>D85</f>
        <v>255087</v>
      </c>
      <c r="E84" s="331">
        <f>E85</f>
        <v>284086.75</v>
      </c>
      <c r="F84" s="219">
        <f>F85</f>
        <v>0</v>
      </c>
      <c r="G84" s="332">
        <f>G85</f>
        <v>28999.75</v>
      </c>
      <c r="H84" s="223">
        <f t="shared" si="4"/>
        <v>11.368572291022279</v>
      </c>
      <c r="I84" s="197"/>
      <c r="J84" s="23"/>
      <c r="K84" s="35"/>
      <c r="L84" s="36"/>
      <c r="M84" s="66"/>
      <c r="N84" s="66"/>
      <c r="O84" s="329"/>
      <c r="P84" s="333">
        <f>SUM(P85)</f>
        <v>284086750</v>
      </c>
      <c r="Q84" s="334" t="s">
        <v>299</v>
      </c>
    </row>
    <row r="85" spans="1:17" ht="17.100000000000001" customHeight="1">
      <c r="A85" s="171"/>
      <c r="B85" s="263" t="s">
        <v>340</v>
      </c>
      <c r="C85" s="335" t="s">
        <v>322</v>
      </c>
      <c r="D85" s="61">
        <f>SUM(D86:D91)</f>
        <v>255087</v>
      </c>
      <c r="E85" s="317">
        <f>SUM(E86:E91)</f>
        <v>284086.75</v>
      </c>
      <c r="F85" s="336"/>
      <c r="G85" s="187">
        <f>E85-D85</f>
        <v>28999.75</v>
      </c>
      <c r="H85" s="57">
        <f>G85/D85*100</f>
        <v>11.368572291022279</v>
      </c>
      <c r="I85" s="197"/>
      <c r="J85" s="23"/>
      <c r="K85" s="35"/>
      <c r="L85" s="36"/>
      <c r="M85" s="66"/>
      <c r="N85" s="319" t="s">
        <v>336</v>
      </c>
      <c r="O85" s="319"/>
      <c r="P85" s="23">
        <f>SUM(P86:P88)</f>
        <v>284086750</v>
      </c>
      <c r="Q85" s="18" t="s">
        <v>299</v>
      </c>
    </row>
    <row r="86" spans="1:17" ht="17.100000000000001" customHeight="1">
      <c r="A86" s="192"/>
      <c r="B86" s="199"/>
      <c r="C86" s="246" t="s">
        <v>120</v>
      </c>
      <c r="D86" s="247">
        <v>18000</v>
      </c>
      <c r="E86" s="248">
        <f>P86/1000</f>
        <v>12000</v>
      </c>
      <c r="F86" s="337"/>
      <c r="G86" s="187">
        <f>+E86-D86</f>
        <v>-6000</v>
      </c>
      <c r="H86" s="57">
        <f>G86/D86*100</f>
        <v>-33.333333333333329</v>
      </c>
      <c r="I86" s="324" t="s">
        <v>120</v>
      </c>
      <c r="J86" s="325">
        <v>3000000</v>
      </c>
      <c r="K86" s="225" t="s">
        <v>299</v>
      </c>
      <c r="L86" s="326" t="s">
        <v>315</v>
      </c>
      <c r="M86" s="225">
        <v>4</v>
      </c>
      <c r="N86" s="225" t="s">
        <v>353</v>
      </c>
      <c r="O86" s="327" t="s">
        <v>317</v>
      </c>
      <c r="P86" s="325">
        <f>SUM(J86*M86)</f>
        <v>12000000</v>
      </c>
      <c r="Q86" s="252" t="s">
        <v>299</v>
      </c>
    </row>
    <row r="87" spans="1:17" ht="17.100000000000001" customHeight="1">
      <c r="A87" s="192"/>
      <c r="B87" s="199"/>
      <c r="C87" s="246" t="s">
        <v>182</v>
      </c>
      <c r="D87" s="247">
        <v>10533</v>
      </c>
      <c r="E87" s="305">
        <f>P87/1000</f>
        <v>10532.75</v>
      </c>
      <c r="F87" s="337"/>
      <c r="G87" s="187">
        <f>+E87-D87</f>
        <v>-0.25</v>
      </c>
      <c r="H87" s="188">
        <f>G87/D87*100</f>
        <v>-2.3734928320516472E-3</v>
      </c>
      <c r="I87" s="338" t="s">
        <v>385</v>
      </c>
      <c r="J87" s="325">
        <v>10532750</v>
      </c>
      <c r="K87" s="225" t="s">
        <v>299</v>
      </c>
      <c r="L87" s="225" t="s">
        <v>315</v>
      </c>
      <c r="M87" s="224">
        <v>1</v>
      </c>
      <c r="N87" s="225" t="s">
        <v>313</v>
      </c>
      <c r="O87" s="224" t="s">
        <v>317</v>
      </c>
      <c r="P87" s="325">
        <f>J87*M87</f>
        <v>10532750</v>
      </c>
      <c r="Q87" s="252" t="s">
        <v>299</v>
      </c>
    </row>
    <row r="88" spans="1:17" ht="17.100000000000001" customHeight="1">
      <c r="A88" s="192"/>
      <c r="B88" s="199"/>
      <c r="C88" s="100" t="s">
        <v>67</v>
      </c>
      <c r="D88" s="94">
        <v>226554</v>
      </c>
      <c r="E88" s="97">
        <f>+P88/1000</f>
        <v>261554</v>
      </c>
      <c r="F88" s="90">
        <v>6500</v>
      </c>
      <c r="G88" s="99">
        <f>+E88-D88</f>
        <v>35000</v>
      </c>
      <c r="H88" s="339">
        <f t="shared" si="4"/>
        <v>15.448855460508312</v>
      </c>
      <c r="I88" s="197"/>
      <c r="J88" s="198"/>
      <c r="K88" s="66"/>
      <c r="L88" s="66"/>
      <c r="M88" s="118" t="s">
        <v>336</v>
      </c>
      <c r="N88" s="118"/>
      <c r="O88" s="118"/>
      <c r="P88" s="198">
        <f>SUM(P89:P91)</f>
        <v>261554000</v>
      </c>
      <c r="Q88" s="18" t="s">
        <v>299</v>
      </c>
    </row>
    <row r="89" spans="1:17" ht="17.100000000000001" customHeight="1">
      <c r="A89" s="192"/>
      <c r="B89" s="199"/>
      <c r="C89" s="101"/>
      <c r="D89" s="94"/>
      <c r="E89" s="97"/>
      <c r="F89" s="91"/>
      <c r="G89" s="99"/>
      <c r="H89" s="339" t="e">
        <f t="shared" si="4"/>
        <v>#DIV/0!</v>
      </c>
      <c r="I89" s="234" t="s">
        <v>12</v>
      </c>
      <c r="J89" s="340">
        <v>6500000</v>
      </c>
      <c r="K89" s="28" t="s">
        <v>299</v>
      </c>
      <c r="L89" s="27" t="s">
        <v>315</v>
      </c>
      <c r="M89" s="28">
        <v>1</v>
      </c>
      <c r="N89" s="28" t="s">
        <v>313</v>
      </c>
      <c r="O89" s="48" t="s">
        <v>317</v>
      </c>
      <c r="P89" s="340">
        <f>J89*M89</f>
        <v>6500000</v>
      </c>
      <c r="Q89" s="49" t="s">
        <v>299</v>
      </c>
    </row>
    <row r="90" spans="1:17" ht="17.100000000000001" customHeight="1">
      <c r="A90" s="192"/>
      <c r="B90" s="199"/>
      <c r="C90" s="101"/>
      <c r="D90" s="94"/>
      <c r="E90" s="97"/>
      <c r="F90" s="91"/>
      <c r="G90" s="99"/>
      <c r="H90" s="88"/>
      <c r="I90" s="269" t="s">
        <v>245</v>
      </c>
      <c r="J90" s="340">
        <v>217554000</v>
      </c>
      <c r="K90" s="28" t="s">
        <v>299</v>
      </c>
      <c r="L90" s="27" t="s">
        <v>315</v>
      </c>
      <c r="M90" s="28">
        <v>1</v>
      </c>
      <c r="N90" s="28" t="s">
        <v>313</v>
      </c>
      <c r="O90" s="48" t="s">
        <v>317</v>
      </c>
      <c r="P90" s="340">
        <f>J90*M90</f>
        <v>217554000</v>
      </c>
      <c r="Q90" s="49" t="s">
        <v>299</v>
      </c>
    </row>
    <row r="91" spans="1:17" ht="15.95" customHeight="1">
      <c r="A91" s="284"/>
      <c r="B91" s="285"/>
      <c r="C91" s="286"/>
      <c r="D91" s="287"/>
      <c r="E91" s="341"/>
      <c r="F91" s="342"/>
      <c r="G91" s="290">
        <f>+E91-D91</f>
        <v>0</v>
      </c>
      <c r="H91" s="343" t="e">
        <f t="shared" si="4"/>
        <v>#DIV/0!</v>
      </c>
      <c r="I91" s="344" t="s">
        <v>67</v>
      </c>
      <c r="J91" s="345">
        <v>12500000</v>
      </c>
      <c r="K91" s="346" t="s">
        <v>299</v>
      </c>
      <c r="L91" s="347" t="s">
        <v>315</v>
      </c>
      <c r="M91" s="346">
        <v>3</v>
      </c>
      <c r="N91" s="346" t="s">
        <v>313</v>
      </c>
      <c r="O91" s="348" t="s">
        <v>317</v>
      </c>
      <c r="P91" s="345">
        <f>SUM(J91*M91)</f>
        <v>37500000</v>
      </c>
      <c r="Q91" s="349" t="s">
        <v>299</v>
      </c>
    </row>
    <row r="100" spans="1:17">
      <c r="A100" s="134"/>
      <c r="B100" s="134"/>
      <c r="C100" s="134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</row>
  </sheetData>
  <mergeCells count="128">
    <mergeCell ref="A3:B3"/>
    <mergeCell ref="G68:G70"/>
    <mergeCell ref="H68:H70"/>
    <mergeCell ref="M68:O68"/>
    <mergeCell ref="C71:C73"/>
    <mergeCell ref="D71:D73"/>
    <mergeCell ref="E71:E73"/>
    <mergeCell ref="F71:F73"/>
    <mergeCell ref="G71:G73"/>
    <mergeCell ref="H71:H73"/>
    <mergeCell ref="M71:O71"/>
    <mergeCell ref="G45:G49"/>
    <mergeCell ref="F37:F38"/>
    <mergeCell ref="H37:H41"/>
    <mergeCell ref="G37:G41"/>
    <mergeCell ref="F42:F43"/>
    <mergeCell ref="F35:F36"/>
    <mergeCell ref="F51:F53"/>
    <mergeCell ref="G51:G53"/>
    <mergeCell ref="G54:G62"/>
    <mergeCell ref="G35:G36"/>
    <mergeCell ref="F54:F62"/>
    <mergeCell ref="D65:D67"/>
    <mergeCell ref="E65:E67"/>
    <mergeCell ref="H54:H62"/>
    <mergeCell ref="M65:O65"/>
    <mergeCell ref="H65:H67"/>
    <mergeCell ref="M45:O45"/>
    <mergeCell ref="H35:H36"/>
    <mergeCell ref="H45:H49"/>
    <mergeCell ref="M37:O37"/>
    <mergeCell ref="M42:O42"/>
    <mergeCell ref="H51:H53"/>
    <mergeCell ref="M51:O51"/>
    <mergeCell ref="C65:C67"/>
    <mergeCell ref="B63:C63"/>
    <mergeCell ref="C45:C49"/>
    <mergeCell ref="D45:D49"/>
    <mergeCell ref="D37:D41"/>
    <mergeCell ref="D54:D62"/>
    <mergeCell ref="C54:C62"/>
    <mergeCell ref="E37:E41"/>
    <mergeCell ref="E54:E62"/>
    <mergeCell ref="M88:O88"/>
    <mergeCell ref="N85:O85"/>
    <mergeCell ref="N80:O80"/>
    <mergeCell ref="H88:H91"/>
    <mergeCell ref="B84:C84"/>
    <mergeCell ref="F88:F91"/>
    <mergeCell ref="B79:C79"/>
    <mergeCell ref="C88:C91"/>
    <mergeCell ref="F65:F67"/>
    <mergeCell ref="G88:G91"/>
    <mergeCell ref="G65:G67"/>
    <mergeCell ref="D88:D91"/>
    <mergeCell ref="E88:E91"/>
    <mergeCell ref="C74:C78"/>
    <mergeCell ref="D74:D78"/>
    <mergeCell ref="E74:E78"/>
    <mergeCell ref="F74:F75"/>
    <mergeCell ref="G74:G78"/>
    <mergeCell ref="H74:H78"/>
    <mergeCell ref="M74:O74"/>
    <mergeCell ref="C68:C70"/>
    <mergeCell ref="D68:D70"/>
    <mergeCell ref="E68:E70"/>
    <mergeCell ref="F68:F70"/>
    <mergeCell ref="O3:Q3"/>
    <mergeCell ref="F17:F20"/>
    <mergeCell ref="D4:D5"/>
    <mergeCell ref="E45:E49"/>
    <mergeCell ref="C51:C53"/>
    <mergeCell ref="D51:D53"/>
    <mergeCell ref="E51:E53"/>
    <mergeCell ref="C37:C41"/>
    <mergeCell ref="B23:C23"/>
    <mergeCell ref="D31:D32"/>
    <mergeCell ref="B33:C33"/>
    <mergeCell ref="D35:D36"/>
    <mergeCell ref="C25:C27"/>
    <mergeCell ref="E35:E36"/>
    <mergeCell ref="M17:O17"/>
    <mergeCell ref="I25:J25"/>
    <mergeCell ref="C35:C36"/>
    <mergeCell ref="C21:C22"/>
    <mergeCell ref="C42:C44"/>
    <mergeCell ref="D42:D44"/>
    <mergeCell ref="E42:E44"/>
    <mergeCell ref="G42:G44"/>
    <mergeCell ref="H42:H44"/>
    <mergeCell ref="D21:D22"/>
    <mergeCell ref="A1:Q1"/>
    <mergeCell ref="F31:F32"/>
    <mergeCell ref="D17:D20"/>
    <mergeCell ref="M9:O9"/>
    <mergeCell ref="E4:E5"/>
    <mergeCell ref="A4:A5"/>
    <mergeCell ref="B29:C29"/>
    <mergeCell ref="F4:F5"/>
    <mergeCell ref="B4:B5"/>
    <mergeCell ref="M25:O25"/>
    <mergeCell ref="H31:H32"/>
    <mergeCell ref="E21:E22"/>
    <mergeCell ref="G21:G22"/>
    <mergeCell ref="H21:H22"/>
    <mergeCell ref="E31:E32"/>
    <mergeCell ref="G31:G32"/>
    <mergeCell ref="E25:E27"/>
    <mergeCell ref="G25:G27"/>
    <mergeCell ref="C4:C5"/>
    <mergeCell ref="G4:H4"/>
    <mergeCell ref="C17:C20"/>
    <mergeCell ref="E17:E20"/>
    <mergeCell ref="G9:G16"/>
    <mergeCell ref="H9:H16"/>
    <mergeCell ref="C31:C32"/>
    <mergeCell ref="I4:Q5"/>
    <mergeCell ref="M21:O21"/>
    <mergeCell ref="B7:C7"/>
    <mergeCell ref="G17:G20"/>
    <mergeCell ref="A6:C6"/>
    <mergeCell ref="H17:H20"/>
    <mergeCell ref="C9:C16"/>
    <mergeCell ref="D9:D16"/>
    <mergeCell ref="E9:E16"/>
    <mergeCell ref="H25:H27"/>
    <mergeCell ref="F25:F28"/>
    <mergeCell ref="D25:D27"/>
  </mergeCells>
  <phoneticPr fontId="6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95" orientation="landscape" r:id="rId1"/>
  <headerFooter>
    <oddFooter>&amp;C&amp;"맑은 고딕,Regular"&amp;P</oddFooter>
  </headerFooter>
  <rowBreaks count="3" manualBreakCount="3">
    <brk id="28" max="1048575" man="1"/>
    <brk id="53" max="1048575" man="1"/>
    <brk id="78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G338"/>
  <sheetViews>
    <sheetView tabSelected="1" view="pageBreakPreview" zoomScaleNormal="100" zoomScaleSheetLayoutView="100" workbookViewId="0">
      <pane ySplit="4" topLeftCell="A320" activePane="bottomLeft" state="frozen"/>
      <selection pane="bottomLeft" activeCell="R1" sqref="R1:R1048576"/>
    </sheetView>
  </sheetViews>
  <sheetFormatPr defaultColWidth="9" defaultRowHeight="17.25"/>
  <cols>
    <col min="1" max="1" width="6.625" style="350" customWidth="1"/>
    <col min="2" max="2" width="6.625" style="309" customWidth="1"/>
    <col min="3" max="3" width="12.75" style="309" customWidth="1"/>
    <col min="4" max="4" width="13.125" style="351" customWidth="1"/>
    <col min="5" max="5" width="13.125" style="350" customWidth="1"/>
    <col min="6" max="6" width="13.125" style="350" hidden="1" customWidth="1"/>
    <col min="7" max="7" width="10.625" style="357" customWidth="1"/>
    <col min="8" max="8" width="8.625" style="358" customWidth="1"/>
    <col min="9" max="9" width="21.125" style="359" customWidth="1"/>
    <col min="10" max="10" width="12.75" style="184" customWidth="1"/>
    <col min="11" max="11" width="3.125" style="183" customWidth="1"/>
    <col min="12" max="12" width="3.125" style="360" customWidth="1"/>
    <col min="13" max="13" width="4.25" style="360" customWidth="1"/>
    <col min="14" max="15" width="3.125" style="360" customWidth="1"/>
    <col min="16" max="16" width="13.75" style="184" customWidth="1"/>
    <col min="17" max="17" width="2.625" style="183" customWidth="1"/>
    <col min="18" max="18" width="29.25" style="135" customWidth="1"/>
    <col min="19" max="30" width="12.5" style="134" hidden="1" customWidth="1"/>
    <col min="31" max="31" width="13.625" style="135" bestFit="1" customWidth="1"/>
    <col min="32" max="32" width="13.125" style="361" customWidth="1"/>
    <col min="33" max="33" width="12.625" style="361" customWidth="1"/>
    <col min="34" max="34" width="12.625" style="134" customWidth="1"/>
    <col min="35" max="16384" width="9" style="134"/>
  </cols>
  <sheetData>
    <row r="1" spans="1:33" ht="20.25">
      <c r="A1" s="356" t="s">
        <v>206</v>
      </c>
      <c r="B1" s="356"/>
    </row>
    <row r="2" spans="1:33" ht="12.75" customHeight="1">
      <c r="A2" s="362"/>
      <c r="B2" s="362"/>
      <c r="C2" s="138"/>
      <c r="D2" s="363"/>
      <c r="E2" s="364"/>
      <c r="F2" s="364"/>
      <c r="G2" s="365"/>
      <c r="H2" s="366"/>
      <c r="I2" s="138" t="s">
        <v>330</v>
      </c>
      <c r="J2" s="364"/>
      <c r="K2" s="138"/>
      <c r="L2" s="138"/>
      <c r="M2" s="138"/>
      <c r="N2" s="138"/>
      <c r="O2" s="142" t="s">
        <v>25</v>
      </c>
      <c r="P2" s="142"/>
      <c r="Q2" s="142"/>
    </row>
    <row r="3" spans="1:33" ht="17.25" customHeight="1">
      <c r="A3" s="143" t="s">
        <v>312</v>
      </c>
      <c r="B3" s="150" t="s">
        <v>308</v>
      </c>
      <c r="C3" s="367" t="s">
        <v>316</v>
      </c>
      <c r="D3" s="146" t="s">
        <v>403</v>
      </c>
      <c r="E3" s="146" t="s">
        <v>398</v>
      </c>
      <c r="F3" s="368" t="s">
        <v>15</v>
      </c>
      <c r="G3" s="369" t="s">
        <v>90</v>
      </c>
      <c r="H3" s="369"/>
      <c r="I3" s="367" t="s">
        <v>488</v>
      </c>
      <c r="J3" s="367"/>
      <c r="K3" s="367"/>
      <c r="L3" s="367"/>
      <c r="M3" s="367"/>
      <c r="N3" s="367"/>
      <c r="O3" s="367"/>
      <c r="P3" s="367"/>
      <c r="Q3" s="367"/>
    </row>
    <row r="4" spans="1:33" ht="20.25" customHeight="1">
      <c r="A4" s="151"/>
      <c r="B4" s="159"/>
      <c r="C4" s="370"/>
      <c r="D4" s="154"/>
      <c r="E4" s="154"/>
      <c r="F4" s="371"/>
      <c r="G4" s="372" t="s">
        <v>338</v>
      </c>
      <c r="H4" s="373" t="s">
        <v>344</v>
      </c>
      <c r="I4" s="370"/>
      <c r="J4" s="370"/>
      <c r="K4" s="370"/>
      <c r="L4" s="370"/>
      <c r="M4" s="370"/>
      <c r="N4" s="370"/>
      <c r="O4" s="370"/>
      <c r="P4" s="370"/>
      <c r="Q4" s="370"/>
    </row>
    <row r="5" spans="1:33" ht="19.5" customHeight="1">
      <c r="A5" s="160" t="s">
        <v>348</v>
      </c>
      <c r="B5" s="161"/>
      <c r="C5" s="162"/>
      <c r="D5" s="374">
        <f>SUM(D6,D77,D84,D222,D319,D219)</f>
        <v>8392197.0098800007</v>
      </c>
      <c r="E5" s="374">
        <f>SUM(E6,E77,E84,E222,E319,E219)</f>
        <v>8574938.6736899987</v>
      </c>
      <c r="F5" s="375" t="e">
        <f>SUM(F6,F77,F84,F222,#REF!,F319)</f>
        <v>#REF!</v>
      </c>
      <c r="G5" s="376">
        <f>+E5-D5</f>
        <v>182741.66380999796</v>
      </c>
      <c r="H5" s="377">
        <f t="shared" ref="H5:H36" si="0">+G5/D5*100</f>
        <v>2.1775187545628292</v>
      </c>
      <c r="I5" s="378"/>
      <c r="J5" s="167"/>
      <c r="K5" s="168"/>
      <c r="L5" s="168"/>
      <c r="M5" s="167"/>
      <c r="N5" s="167"/>
      <c r="O5" s="379"/>
      <c r="P5" s="380">
        <f>SUM(P6,P77,P84,P222,P319,P219)</f>
        <v>8574938173.6900005</v>
      </c>
      <c r="Q5" s="381" t="s">
        <v>299</v>
      </c>
    </row>
    <row r="6" spans="1:33" ht="20.100000000000001" customHeight="1">
      <c r="A6" s="171" t="s">
        <v>319</v>
      </c>
      <c r="B6" s="383" t="s">
        <v>311</v>
      </c>
      <c r="C6" s="384"/>
      <c r="D6" s="385">
        <f>SUM(D7,D35,D49)</f>
        <v>1675801</v>
      </c>
      <c r="E6" s="386">
        <f>SUM(E7,E35,E49)</f>
        <v>1904009.9999599999</v>
      </c>
      <c r="F6" s="387">
        <f>SUM(F7,F35,F49)</f>
        <v>869305</v>
      </c>
      <c r="G6" s="388">
        <f>+E6-D6</f>
        <v>228208.99995999993</v>
      </c>
      <c r="H6" s="389">
        <f t="shared" si="0"/>
        <v>13.61790570360084</v>
      </c>
      <c r="I6" s="390"/>
      <c r="J6" s="391"/>
      <c r="K6" s="392"/>
      <c r="L6" s="393"/>
      <c r="M6" s="393"/>
      <c r="N6" s="393"/>
      <c r="O6" s="393"/>
      <c r="P6" s="394">
        <f>SUM(P7,P35,P49)</f>
        <v>1904009999.96</v>
      </c>
      <c r="Q6" s="395" t="s">
        <v>299</v>
      </c>
    </row>
    <row r="7" spans="1:33" ht="20.100000000000001" customHeight="1">
      <c r="A7" s="396"/>
      <c r="B7" s="263" t="s">
        <v>329</v>
      </c>
      <c r="C7" s="397" t="s">
        <v>322</v>
      </c>
      <c r="D7" s="398">
        <f>SUM(D8:D33)</f>
        <v>1082326</v>
      </c>
      <c r="E7" s="399">
        <f>SUM(E8:E33)</f>
        <v>1082326.1999599999</v>
      </c>
      <c r="F7" s="400">
        <f>SUM(F8:F33)-1</f>
        <v>582084</v>
      </c>
      <c r="G7" s="401">
        <f>+E7-D7</f>
        <v>0.19995999988168478</v>
      </c>
      <c r="H7" s="402">
        <f t="shared" si="0"/>
        <v>1.8475025073931956E-5</v>
      </c>
      <c r="I7" s="403"/>
      <c r="J7" s="215"/>
      <c r="K7" s="45"/>
      <c r="L7" s="29"/>
      <c r="M7" s="29"/>
      <c r="N7" s="29"/>
      <c r="O7" s="29"/>
      <c r="P7" s="215">
        <f>SUM(P8,P13,P21,P23,P29)</f>
        <v>1082326199.96</v>
      </c>
      <c r="Q7" s="252" t="s">
        <v>299</v>
      </c>
      <c r="S7" s="404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</row>
    <row r="8" spans="1:33" ht="15.95" customHeight="1">
      <c r="A8" s="396"/>
      <c r="B8" s="199"/>
      <c r="C8" s="405" t="s">
        <v>337</v>
      </c>
      <c r="D8" s="406">
        <v>769775</v>
      </c>
      <c r="E8" s="407">
        <f>P8/1000</f>
        <v>769775.2</v>
      </c>
      <c r="F8" s="63">
        <v>351377</v>
      </c>
      <c r="G8" s="407">
        <f>E8-D8</f>
        <v>0.19999999995343387</v>
      </c>
      <c r="H8" s="408">
        <f t="shared" si="0"/>
        <v>2.5981617999211959E-5</v>
      </c>
      <c r="I8" s="197"/>
      <c r="J8" s="198"/>
      <c r="K8" s="35"/>
      <c r="L8" s="66"/>
      <c r="M8" s="66" t="s">
        <v>336</v>
      </c>
      <c r="N8" s="66"/>
      <c r="O8" s="66"/>
      <c r="P8" s="198">
        <f>SUM(P9:P12)</f>
        <v>769775200</v>
      </c>
      <c r="Q8" s="18" t="s">
        <v>299</v>
      </c>
      <c r="S8" s="135"/>
      <c r="T8" s="409"/>
      <c r="U8" s="135"/>
      <c r="V8" s="135"/>
      <c r="W8" s="135"/>
      <c r="X8" s="135"/>
      <c r="Y8" s="135"/>
      <c r="Z8" s="135"/>
      <c r="AA8" s="135"/>
      <c r="AB8" s="135"/>
      <c r="AC8" s="135"/>
      <c r="AD8" s="135"/>
    </row>
    <row r="9" spans="1:33" ht="15.95" customHeight="1">
      <c r="A9" s="396"/>
      <c r="B9" s="199"/>
      <c r="C9" s="122"/>
      <c r="D9" s="410"/>
      <c r="E9" s="411"/>
      <c r="F9" s="65"/>
      <c r="G9" s="411"/>
      <c r="H9" s="412"/>
      <c r="I9" s="206" t="s">
        <v>358</v>
      </c>
      <c r="J9" s="215">
        <v>37762000</v>
      </c>
      <c r="K9" s="45" t="s">
        <v>299</v>
      </c>
      <c r="L9" s="46" t="s">
        <v>315</v>
      </c>
      <c r="M9" s="29">
        <v>12</v>
      </c>
      <c r="N9" s="29" t="s">
        <v>314</v>
      </c>
      <c r="O9" s="30" t="s">
        <v>317</v>
      </c>
      <c r="P9" s="413">
        <f>J9*M9</f>
        <v>453144000</v>
      </c>
      <c r="Q9" s="32" t="s">
        <v>299</v>
      </c>
      <c r="S9" s="135"/>
      <c r="T9" s="414"/>
      <c r="U9" s="135"/>
      <c r="V9" s="135"/>
      <c r="W9" s="135"/>
      <c r="X9" s="135"/>
      <c r="Y9" s="135"/>
      <c r="Z9" s="135"/>
      <c r="AA9" s="135"/>
      <c r="AB9" s="135"/>
      <c r="AC9" s="135"/>
      <c r="AD9" s="135"/>
    </row>
    <row r="10" spans="1:33" ht="15.95" customHeight="1">
      <c r="A10" s="396"/>
      <c r="B10" s="199"/>
      <c r="C10" s="122"/>
      <c r="D10" s="410"/>
      <c r="E10" s="411"/>
      <c r="F10" s="65"/>
      <c r="G10" s="411"/>
      <c r="H10" s="412"/>
      <c r="I10" s="206" t="s">
        <v>175</v>
      </c>
      <c r="J10" s="215">
        <v>32446000</v>
      </c>
      <c r="K10" s="45" t="s">
        <v>299</v>
      </c>
      <c r="L10" s="46" t="s">
        <v>315</v>
      </c>
      <c r="M10" s="29">
        <v>4.5</v>
      </c>
      <c r="N10" s="29" t="s">
        <v>313</v>
      </c>
      <c r="O10" s="30" t="s">
        <v>317</v>
      </c>
      <c r="P10" s="215">
        <f>J10*M10</f>
        <v>146007000</v>
      </c>
      <c r="Q10" s="32" t="s">
        <v>299</v>
      </c>
      <c r="S10" s="135"/>
      <c r="T10" s="414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</row>
    <row r="11" spans="1:33" ht="15.95" customHeight="1">
      <c r="A11" s="396"/>
      <c r="B11" s="199"/>
      <c r="C11" s="122"/>
      <c r="D11" s="410"/>
      <c r="E11" s="411"/>
      <c r="F11" s="64"/>
      <c r="G11" s="411"/>
      <c r="H11" s="412"/>
      <c r="I11" s="206" t="s">
        <v>105</v>
      </c>
      <c r="J11" s="215">
        <v>32452100</v>
      </c>
      <c r="K11" s="45" t="s">
        <v>299</v>
      </c>
      <c r="L11" s="46" t="s">
        <v>315</v>
      </c>
      <c r="M11" s="29">
        <v>2</v>
      </c>
      <c r="N11" s="29" t="s">
        <v>313</v>
      </c>
      <c r="O11" s="30" t="s">
        <v>317</v>
      </c>
      <c r="P11" s="215">
        <f>J11*M11</f>
        <v>64904200</v>
      </c>
      <c r="Q11" s="32" t="s">
        <v>299</v>
      </c>
      <c r="S11" s="135"/>
      <c r="T11" s="414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</row>
    <row r="12" spans="1:33" ht="15.95" customHeight="1">
      <c r="A12" s="396"/>
      <c r="B12" s="199"/>
      <c r="C12" s="123"/>
      <c r="D12" s="415"/>
      <c r="E12" s="416"/>
      <c r="F12" s="65"/>
      <c r="G12" s="416"/>
      <c r="H12" s="417"/>
      <c r="I12" s="203" t="s">
        <v>9</v>
      </c>
      <c r="J12" s="215">
        <v>8810000</v>
      </c>
      <c r="K12" s="45" t="s">
        <v>299</v>
      </c>
      <c r="L12" s="46" t="s">
        <v>315</v>
      </c>
      <c r="M12" s="29">
        <v>12</v>
      </c>
      <c r="N12" s="29" t="s">
        <v>314</v>
      </c>
      <c r="O12" s="30" t="s">
        <v>317</v>
      </c>
      <c r="P12" s="215">
        <f>J12*M12</f>
        <v>105720000</v>
      </c>
      <c r="Q12" s="32" t="s">
        <v>299</v>
      </c>
      <c r="S12" s="135"/>
      <c r="T12" s="414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</row>
    <row r="13" spans="1:33" s="183" customFormat="1" ht="15.95" customHeight="1">
      <c r="A13" s="192"/>
      <c r="B13" s="199"/>
      <c r="C13" s="405" t="s">
        <v>321</v>
      </c>
      <c r="D13" s="418">
        <v>114586</v>
      </c>
      <c r="E13" s="419">
        <f>+P13/1000</f>
        <v>113685.99996000002</v>
      </c>
      <c r="F13" s="128">
        <v>102644</v>
      </c>
      <c r="G13" s="407">
        <f t="shared" ref="G13:G58" si="1">+E13-D13</f>
        <v>-900.00003999998444</v>
      </c>
      <c r="H13" s="420">
        <f t="shared" si="0"/>
        <v>-0.7854363011187967</v>
      </c>
      <c r="I13" s="197"/>
      <c r="J13" s="198"/>
      <c r="K13" s="35"/>
      <c r="L13" s="66"/>
      <c r="M13" s="118" t="s">
        <v>336</v>
      </c>
      <c r="N13" s="118"/>
      <c r="O13" s="118"/>
      <c r="P13" s="198">
        <f>SUM(P14:P20)</f>
        <v>113685999.96000001</v>
      </c>
      <c r="Q13" s="18" t="s">
        <v>299</v>
      </c>
      <c r="R13" s="184"/>
      <c r="AE13" s="135"/>
      <c r="AF13" s="361"/>
      <c r="AG13" s="361"/>
    </row>
    <row r="14" spans="1:33" s="183" customFormat="1" ht="15.95" customHeight="1">
      <c r="A14" s="192"/>
      <c r="B14" s="199"/>
      <c r="C14" s="122"/>
      <c r="D14" s="421"/>
      <c r="E14" s="422"/>
      <c r="F14" s="130"/>
      <c r="G14" s="411"/>
      <c r="H14" s="423"/>
      <c r="I14" s="206" t="s">
        <v>349</v>
      </c>
      <c r="J14" s="215">
        <v>3168833.33</v>
      </c>
      <c r="K14" s="45" t="s">
        <v>299</v>
      </c>
      <c r="L14" s="46" t="s">
        <v>315</v>
      </c>
      <c r="M14" s="29">
        <v>12</v>
      </c>
      <c r="N14" s="29" t="s">
        <v>314</v>
      </c>
      <c r="O14" s="30" t="s">
        <v>317</v>
      </c>
      <c r="P14" s="215">
        <f>(J14*M14)</f>
        <v>38025999.960000001</v>
      </c>
      <c r="Q14" s="32" t="s">
        <v>299</v>
      </c>
      <c r="R14" s="184"/>
      <c r="AE14" s="135"/>
      <c r="AF14" s="361"/>
      <c r="AG14" s="361"/>
    </row>
    <row r="15" spans="1:33" s="183" customFormat="1" ht="15.95" customHeight="1">
      <c r="A15" s="192"/>
      <c r="B15" s="199"/>
      <c r="C15" s="122"/>
      <c r="D15" s="421"/>
      <c r="E15" s="422"/>
      <c r="F15" s="130"/>
      <c r="G15" s="411"/>
      <c r="H15" s="423"/>
      <c r="I15" s="206" t="s">
        <v>297</v>
      </c>
      <c r="J15" s="215">
        <v>860000</v>
      </c>
      <c r="K15" s="45" t="s">
        <v>299</v>
      </c>
      <c r="L15" s="46" t="s">
        <v>315</v>
      </c>
      <c r="M15" s="29">
        <v>12</v>
      </c>
      <c r="N15" s="29" t="s">
        <v>314</v>
      </c>
      <c r="O15" s="30" t="s">
        <v>317</v>
      </c>
      <c r="P15" s="215">
        <f t="shared" ref="P15:P20" si="2">(J15*M15)</f>
        <v>10320000</v>
      </c>
      <c r="Q15" s="32" t="s">
        <v>299</v>
      </c>
      <c r="R15" s="184"/>
      <c r="AE15" s="135"/>
      <c r="AF15" s="361"/>
      <c r="AG15" s="361"/>
    </row>
    <row r="16" spans="1:33" s="183" customFormat="1" ht="15.95" customHeight="1">
      <c r="A16" s="192"/>
      <c r="B16" s="199"/>
      <c r="C16" s="122"/>
      <c r="D16" s="421"/>
      <c r="E16" s="422"/>
      <c r="F16" s="130"/>
      <c r="G16" s="411"/>
      <c r="H16" s="423"/>
      <c r="I16" s="206" t="s">
        <v>350</v>
      </c>
      <c r="J16" s="215">
        <v>1630000</v>
      </c>
      <c r="K16" s="45" t="s">
        <v>299</v>
      </c>
      <c r="L16" s="46" t="s">
        <v>315</v>
      </c>
      <c r="M16" s="29">
        <v>12</v>
      </c>
      <c r="N16" s="29" t="s">
        <v>314</v>
      </c>
      <c r="O16" s="30" t="s">
        <v>317</v>
      </c>
      <c r="P16" s="215">
        <f t="shared" si="2"/>
        <v>19560000</v>
      </c>
      <c r="Q16" s="32" t="s">
        <v>299</v>
      </c>
      <c r="R16" s="184"/>
      <c r="AE16" s="135"/>
      <c r="AF16" s="361"/>
      <c r="AG16" s="361"/>
    </row>
    <row r="17" spans="1:33" s="183" customFormat="1" ht="15.95" customHeight="1">
      <c r="A17" s="192"/>
      <c r="B17" s="199"/>
      <c r="C17" s="122"/>
      <c r="D17" s="421"/>
      <c r="E17" s="422"/>
      <c r="F17" s="130"/>
      <c r="G17" s="411"/>
      <c r="H17" s="423"/>
      <c r="I17" s="206" t="s">
        <v>305</v>
      </c>
      <c r="J17" s="215">
        <v>1315000</v>
      </c>
      <c r="K17" s="45" t="s">
        <v>299</v>
      </c>
      <c r="L17" s="46" t="s">
        <v>315</v>
      </c>
      <c r="M17" s="29">
        <v>12</v>
      </c>
      <c r="N17" s="29" t="s">
        <v>314</v>
      </c>
      <c r="O17" s="30" t="s">
        <v>317</v>
      </c>
      <c r="P17" s="215">
        <f t="shared" si="2"/>
        <v>15780000</v>
      </c>
      <c r="Q17" s="32" t="s">
        <v>299</v>
      </c>
      <c r="R17" s="184"/>
      <c r="AE17" s="135"/>
      <c r="AF17" s="361"/>
      <c r="AG17" s="361"/>
    </row>
    <row r="18" spans="1:33" s="183" customFormat="1" ht="15.95" customHeight="1">
      <c r="A18" s="192"/>
      <c r="B18" s="199"/>
      <c r="C18" s="122"/>
      <c r="D18" s="421"/>
      <c r="E18" s="422"/>
      <c r="F18" s="130"/>
      <c r="G18" s="411"/>
      <c r="H18" s="423"/>
      <c r="I18" s="206" t="s">
        <v>318</v>
      </c>
      <c r="J18" s="215">
        <v>1750000</v>
      </c>
      <c r="K18" s="45" t="s">
        <v>299</v>
      </c>
      <c r="L18" s="46" t="s">
        <v>315</v>
      </c>
      <c r="M18" s="29">
        <v>12</v>
      </c>
      <c r="N18" s="29" t="s">
        <v>314</v>
      </c>
      <c r="O18" s="30" t="s">
        <v>317</v>
      </c>
      <c r="P18" s="215">
        <f t="shared" si="2"/>
        <v>21000000</v>
      </c>
      <c r="Q18" s="32" t="s">
        <v>299</v>
      </c>
      <c r="R18" s="184"/>
      <c r="AE18" s="135"/>
      <c r="AF18" s="361"/>
      <c r="AG18" s="361"/>
    </row>
    <row r="19" spans="1:33" s="183" customFormat="1" ht="15.95" customHeight="1">
      <c r="A19" s="192"/>
      <c r="B19" s="199"/>
      <c r="C19" s="122"/>
      <c r="D19" s="421"/>
      <c r="E19" s="422"/>
      <c r="F19" s="130"/>
      <c r="G19" s="411"/>
      <c r="H19" s="423"/>
      <c r="I19" s="206" t="s">
        <v>111</v>
      </c>
      <c r="J19" s="215">
        <v>150000</v>
      </c>
      <c r="K19" s="45" t="s">
        <v>299</v>
      </c>
      <c r="L19" s="46" t="s">
        <v>315</v>
      </c>
      <c r="M19" s="29">
        <v>12</v>
      </c>
      <c r="N19" s="29" t="s">
        <v>314</v>
      </c>
      <c r="O19" s="30" t="s">
        <v>317</v>
      </c>
      <c r="P19" s="215">
        <f t="shared" si="2"/>
        <v>1800000</v>
      </c>
      <c r="Q19" s="32" t="s">
        <v>299</v>
      </c>
      <c r="R19" s="184"/>
      <c r="AE19" s="135"/>
      <c r="AF19" s="361"/>
      <c r="AG19" s="361"/>
    </row>
    <row r="20" spans="1:33" s="183" customFormat="1" ht="15.95" customHeight="1">
      <c r="A20" s="192"/>
      <c r="B20" s="199"/>
      <c r="C20" s="122"/>
      <c r="D20" s="421"/>
      <c r="E20" s="422"/>
      <c r="F20" s="65"/>
      <c r="G20" s="411"/>
      <c r="H20" s="423"/>
      <c r="I20" s="424" t="s">
        <v>468</v>
      </c>
      <c r="J20" s="215">
        <v>3600000</v>
      </c>
      <c r="K20" s="45" t="s">
        <v>299</v>
      </c>
      <c r="L20" s="46" t="s">
        <v>315</v>
      </c>
      <c r="M20" s="29">
        <v>2</v>
      </c>
      <c r="N20" s="29" t="s">
        <v>313</v>
      </c>
      <c r="O20" s="30" t="s">
        <v>317</v>
      </c>
      <c r="P20" s="215">
        <f t="shared" si="2"/>
        <v>7200000</v>
      </c>
      <c r="Q20" s="32" t="s">
        <v>299</v>
      </c>
      <c r="R20" s="184"/>
      <c r="AE20" s="135"/>
      <c r="AF20" s="361"/>
      <c r="AG20" s="361"/>
    </row>
    <row r="21" spans="1:33" s="183" customFormat="1" ht="15.95" customHeight="1">
      <c r="A21" s="192"/>
      <c r="B21" s="199"/>
      <c r="C21" s="405" t="s">
        <v>154</v>
      </c>
      <c r="D21" s="418">
        <v>78415</v>
      </c>
      <c r="E21" s="419">
        <f>(+P21/1000)</f>
        <v>78415</v>
      </c>
      <c r="F21" s="128">
        <v>48032</v>
      </c>
      <c r="G21" s="407">
        <f>E21-D21</f>
        <v>0</v>
      </c>
      <c r="H21" s="420">
        <f t="shared" si="0"/>
        <v>0</v>
      </c>
      <c r="I21" s="425"/>
      <c r="J21" s="198"/>
      <c r="K21" s="35"/>
      <c r="L21" s="35"/>
      <c r="M21" s="118" t="s">
        <v>336</v>
      </c>
      <c r="N21" s="118"/>
      <c r="O21" s="118"/>
      <c r="P21" s="198">
        <f>SUM(P22:P22)</f>
        <v>78415000</v>
      </c>
      <c r="Q21" s="18" t="s">
        <v>299</v>
      </c>
      <c r="R21" s="184"/>
      <c r="AE21" s="135"/>
      <c r="AF21" s="361"/>
      <c r="AG21" s="361"/>
    </row>
    <row r="22" spans="1:33" s="183" customFormat="1" ht="15.95" customHeight="1">
      <c r="A22" s="192"/>
      <c r="B22" s="199"/>
      <c r="C22" s="123"/>
      <c r="D22" s="426"/>
      <c r="E22" s="427"/>
      <c r="F22" s="129"/>
      <c r="G22" s="416">
        <f t="shared" si="1"/>
        <v>0</v>
      </c>
      <c r="H22" s="428" t="e">
        <f t="shared" si="0"/>
        <v>#DIV/0!</v>
      </c>
      <c r="I22" s="206" t="s">
        <v>154</v>
      </c>
      <c r="J22" s="215">
        <v>767941200</v>
      </c>
      <c r="K22" s="429" t="s">
        <v>299</v>
      </c>
      <c r="L22" s="29" t="s">
        <v>307</v>
      </c>
      <c r="M22" s="29">
        <v>12</v>
      </c>
      <c r="N22" s="29"/>
      <c r="O22" s="30" t="s">
        <v>317</v>
      </c>
      <c r="P22" s="215">
        <f>ROUND(J22/12,-1)+11542400+2877430+70</f>
        <v>78415000</v>
      </c>
      <c r="Q22" s="32" t="s">
        <v>299</v>
      </c>
      <c r="R22" s="184"/>
      <c r="AE22" s="135"/>
      <c r="AF22" s="361"/>
      <c r="AG22" s="361"/>
    </row>
    <row r="23" spans="1:33" s="183" customFormat="1" ht="15.95" customHeight="1">
      <c r="A23" s="192"/>
      <c r="B23" s="199"/>
      <c r="C23" s="430" t="s">
        <v>275</v>
      </c>
      <c r="D23" s="431">
        <v>91060</v>
      </c>
      <c r="E23" s="432">
        <f>+P23/1000</f>
        <v>91060</v>
      </c>
      <c r="F23" s="102">
        <v>55737</v>
      </c>
      <c r="G23" s="433">
        <f t="shared" si="1"/>
        <v>0</v>
      </c>
      <c r="H23" s="434">
        <f t="shared" si="0"/>
        <v>0</v>
      </c>
      <c r="I23" s="425"/>
      <c r="J23" s="198"/>
      <c r="K23" s="35"/>
      <c r="L23" s="66"/>
      <c r="M23" s="118" t="s">
        <v>336</v>
      </c>
      <c r="N23" s="118"/>
      <c r="O23" s="118"/>
      <c r="P23" s="198">
        <f>SUM(P24:P28)</f>
        <v>91060000</v>
      </c>
      <c r="Q23" s="18" t="s">
        <v>299</v>
      </c>
      <c r="R23" s="184"/>
      <c r="AE23" s="135"/>
      <c r="AF23" s="361"/>
      <c r="AG23" s="361"/>
    </row>
    <row r="24" spans="1:33" s="183" customFormat="1" ht="15.95" customHeight="1">
      <c r="A24" s="192"/>
      <c r="B24" s="199"/>
      <c r="C24" s="430"/>
      <c r="D24" s="431"/>
      <c r="E24" s="432"/>
      <c r="F24" s="102"/>
      <c r="G24" s="433">
        <f t="shared" si="1"/>
        <v>0</v>
      </c>
      <c r="H24" s="434" t="e">
        <f t="shared" si="0"/>
        <v>#DIV/0!</v>
      </c>
      <c r="I24" s="424" t="s">
        <v>116</v>
      </c>
      <c r="J24" s="215">
        <v>873661200</v>
      </c>
      <c r="K24" s="45" t="s">
        <v>299</v>
      </c>
      <c r="L24" s="46" t="s">
        <v>315</v>
      </c>
      <c r="M24" s="435">
        <v>4.4999999999999998E-2</v>
      </c>
      <c r="N24" s="435"/>
      <c r="O24" s="30" t="s">
        <v>317</v>
      </c>
      <c r="P24" s="215">
        <f>ROUNDUP(SUM(J24*M24),-3)</f>
        <v>39315000</v>
      </c>
      <c r="Q24" s="32" t="s">
        <v>299</v>
      </c>
      <c r="R24" s="184"/>
      <c r="AE24" s="184"/>
      <c r="AF24" s="361"/>
      <c r="AG24" s="361"/>
    </row>
    <row r="25" spans="1:33" s="183" customFormat="1" ht="15.95" customHeight="1">
      <c r="A25" s="192"/>
      <c r="B25" s="199"/>
      <c r="C25" s="430"/>
      <c r="D25" s="431"/>
      <c r="E25" s="432"/>
      <c r="F25" s="102"/>
      <c r="G25" s="433">
        <f t="shared" si="1"/>
        <v>0</v>
      </c>
      <c r="H25" s="434" t="e">
        <f t="shared" si="0"/>
        <v>#DIV/0!</v>
      </c>
      <c r="I25" s="424" t="s">
        <v>144</v>
      </c>
      <c r="J25" s="215">
        <f>+J24</f>
        <v>873661200</v>
      </c>
      <c r="K25" s="45" t="s">
        <v>299</v>
      </c>
      <c r="L25" s="46" t="s">
        <v>315</v>
      </c>
      <c r="M25" s="436">
        <v>3.4299999999999997E-2</v>
      </c>
      <c r="N25" s="436"/>
      <c r="O25" s="29" t="s">
        <v>317</v>
      </c>
      <c r="P25" s="215">
        <f>ROUNDUP(SUM(J25*M25),-3)</f>
        <v>29967000</v>
      </c>
      <c r="Q25" s="32" t="s">
        <v>299</v>
      </c>
      <c r="R25" s="184"/>
      <c r="AE25" s="184" t="s">
        <v>355</v>
      </c>
      <c r="AF25" s="361"/>
      <c r="AG25" s="361"/>
    </row>
    <row r="26" spans="1:33" s="183" customFormat="1" ht="15.95" customHeight="1">
      <c r="A26" s="192"/>
      <c r="B26" s="199"/>
      <c r="C26" s="430"/>
      <c r="D26" s="431"/>
      <c r="E26" s="432"/>
      <c r="F26" s="102"/>
      <c r="G26" s="433">
        <f t="shared" si="1"/>
        <v>0</v>
      </c>
      <c r="H26" s="434" t="e">
        <f t="shared" si="0"/>
        <v>#DIV/0!</v>
      </c>
      <c r="I26" s="424" t="s">
        <v>152</v>
      </c>
      <c r="J26" s="215">
        <f>+P25</f>
        <v>29967000</v>
      </c>
      <c r="K26" s="45" t="s">
        <v>299</v>
      </c>
      <c r="L26" s="46" t="s">
        <v>315</v>
      </c>
      <c r="M26" s="436">
        <v>0.1152</v>
      </c>
      <c r="N26" s="436"/>
      <c r="O26" s="29" t="s">
        <v>317</v>
      </c>
      <c r="P26" s="215">
        <f>ROUNDUP(SUM(J26*M26),-3)</f>
        <v>3453000</v>
      </c>
      <c r="Q26" s="32" t="s">
        <v>299</v>
      </c>
      <c r="R26" s="184"/>
      <c r="AE26" s="184"/>
      <c r="AF26" s="361"/>
      <c r="AG26" s="361"/>
    </row>
    <row r="27" spans="1:33" s="183" customFormat="1" ht="15.95" customHeight="1">
      <c r="A27" s="192"/>
      <c r="B27" s="199"/>
      <c r="C27" s="430"/>
      <c r="D27" s="431"/>
      <c r="E27" s="432"/>
      <c r="F27" s="102"/>
      <c r="G27" s="433">
        <f t="shared" si="1"/>
        <v>0</v>
      </c>
      <c r="H27" s="434" t="e">
        <f t="shared" si="0"/>
        <v>#DIV/0!</v>
      </c>
      <c r="I27" s="424" t="s">
        <v>156</v>
      </c>
      <c r="J27" s="215">
        <v>767941200</v>
      </c>
      <c r="K27" s="45" t="s">
        <v>299</v>
      </c>
      <c r="L27" s="46" t="s">
        <v>315</v>
      </c>
      <c r="M27" s="436">
        <v>1.6500000000000001E-2</v>
      </c>
      <c r="N27" s="436"/>
      <c r="O27" s="29" t="s">
        <v>317</v>
      </c>
      <c r="P27" s="215">
        <f>ROUNDUP(SUM(J27*M27),-3)</f>
        <v>12672000</v>
      </c>
      <c r="Q27" s="32" t="s">
        <v>299</v>
      </c>
      <c r="R27" s="184"/>
      <c r="AE27" s="184"/>
      <c r="AF27" s="361"/>
      <c r="AG27" s="361"/>
    </row>
    <row r="28" spans="1:33" s="183" customFormat="1" ht="15.95" customHeight="1">
      <c r="A28" s="192"/>
      <c r="B28" s="199"/>
      <c r="C28" s="430"/>
      <c r="D28" s="431"/>
      <c r="E28" s="432"/>
      <c r="F28" s="102"/>
      <c r="G28" s="433">
        <f t="shared" si="1"/>
        <v>0</v>
      </c>
      <c r="H28" s="434" t="e">
        <f t="shared" si="0"/>
        <v>#DIV/0!</v>
      </c>
      <c r="I28" s="437" t="s">
        <v>127</v>
      </c>
      <c r="J28" s="212">
        <v>767941200</v>
      </c>
      <c r="K28" s="39" t="s">
        <v>299</v>
      </c>
      <c r="L28" s="40" t="s">
        <v>315</v>
      </c>
      <c r="M28" s="438">
        <v>7.3600000000000002E-3</v>
      </c>
      <c r="N28" s="438"/>
      <c r="O28" s="41" t="s">
        <v>317</v>
      </c>
      <c r="P28" s="215">
        <f>ROUNDUP(SUM(J28*M28),-3)</f>
        <v>5653000</v>
      </c>
      <c r="Q28" s="43" t="s">
        <v>299</v>
      </c>
      <c r="R28" s="184"/>
      <c r="AE28" s="184"/>
      <c r="AF28" s="361"/>
      <c r="AG28" s="361"/>
    </row>
    <row r="29" spans="1:33" s="183" customFormat="1" ht="15.95" customHeight="1">
      <c r="A29" s="192" t="s">
        <v>330</v>
      </c>
      <c r="B29" s="199"/>
      <c r="C29" s="405" t="s">
        <v>196</v>
      </c>
      <c r="D29" s="418">
        <v>28490</v>
      </c>
      <c r="E29" s="419">
        <f>+P29/1000</f>
        <v>29390</v>
      </c>
      <c r="F29" s="102">
        <v>24295</v>
      </c>
      <c r="G29" s="407">
        <f>+E29-D29</f>
        <v>900</v>
      </c>
      <c r="H29" s="420">
        <f t="shared" si="0"/>
        <v>3.1590031590031589</v>
      </c>
      <c r="I29" s="425"/>
      <c r="J29" s="198"/>
      <c r="K29" s="35"/>
      <c r="L29" s="66"/>
      <c r="M29" s="66" t="s">
        <v>336</v>
      </c>
      <c r="N29" s="66"/>
      <c r="O29" s="66"/>
      <c r="P29" s="198">
        <f>SUM(P30:P34)</f>
        <v>29390000</v>
      </c>
      <c r="Q29" s="18" t="s">
        <v>299</v>
      </c>
      <c r="R29" s="184"/>
      <c r="AE29" s="184"/>
      <c r="AF29" s="361"/>
      <c r="AG29" s="361"/>
    </row>
    <row r="30" spans="1:33" s="183" customFormat="1" ht="15.95" customHeight="1">
      <c r="A30" s="192"/>
      <c r="B30" s="199"/>
      <c r="C30" s="122"/>
      <c r="D30" s="421"/>
      <c r="E30" s="422"/>
      <c r="F30" s="102"/>
      <c r="G30" s="411"/>
      <c r="H30" s="423"/>
      <c r="I30" s="424" t="s">
        <v>141</v>
      </c>
      <c r="J30" s="215">
        <v>7390000</v>
      </c>
      <c r="K30" s="45" t="s">
        <v>299</v>
      </c>
      <c r="L30" s="46" t="s">
        <v>315</v>
      </c>
      <c r="M30" s="29">
        <v>1</v>
      </c>
      <c r="N30" s="29" t="s">
        <v>313</v>
      </c>
      <c r="O30" s="30" t="s">
        <v>317</v>
      </c>
      <c r="P30" s="215">
        <v>7390000</v>
      </c>
      <c r="Q30" s="32" t="s">
        <v>299</v>
      </c>
      <c r="R30" s="184"/>
      <c r="AE30" s="184"/>
      <c r="AF30" s="361"/>
      <c r="AG30" s="361"/>
    </row>
    <row r="31" spans="1:33" s="183" customFormat="1" ht="15.95" customHeight="1">
      <c r="A31" s="192"/>
      <c r="B31" s="199"/>
      <c r="C31" s="122"/>
      <c r="D31" s="421"/>
      <c r="E31" s="422"/>
      <c r="F31" s="102"/>
      <c r="G31" s="411"/>
      <c r="H31" s="423"/>
      <c r="I31" s="424" t="s">
        <v>41</v>
      </c>
      <c r="J31" s="215">
        <v>50000</v>
      </c>
      <c r="K31" s="45" t="s">
        <v>299</v>
      </c>
      <c r="L31" s="46" t="s">
        <v>315</v>
      </c>
      <c r="M31" s="29">
        <v>4</v>
      </c>
      <c r="N31" s="29" t="s">
        <v>313</v>
      </c>
      <c r="O31" s="30" t="s">
        <v>317</v>
      </c>
      <c r="P31" s="215">
        <f>+J31*M31</f>
        <v>200000</v>
      </c>
      <c r="Q31" s="32" t="s">
        <v>299</v>
      </c>
      <c r="R31" s="184"/>
      <c r="AE31" s="184"/>
      <c r="AF31" s="361"/>
      <c r="AG31" s="361"/>
    </row>
    <row r="32" spans="1:33" s="183" customFormat="1" ht="15.95" customHeight="1">
      <c r="A32" s="192"/>
      <c r="B32" s="199"/>
      <c r="C32" s="122"/>
      <c r="D32" s="421"/>
      <c r="E32" s="422"/>
      <c r="F32" s="102"/>
      <c r="G32" s="411"/>
      <c r="H32" s="423"/>
      <c r="I32" s="424" t="s">
        <v>367</v>
      </c>
      <c r="J32" s="215">
        <v>3800000</v>
      </c>
      <c r="K32" s="45" t="s">
        <v>299</v>
      </c>
      <c r="L32" s="46" t="s">
        <v>315</v>
      </c>
      <c r="M32" s="29">
        <v>3</v>
      </c>
      <c r="N32" s="29" t="s">
        <v>313</v>
      </c>
      <c r="O32" s="30" t="s">
        <v>317</v>
      </c>
      <c r="P32" s="215">
        <f>+J32*M32</f>
        <v>11400000</v>
      </c>
      <c r="Q32" s="32" t="s">
        <v>299</v>
      </c>
      <c r="R32" s="184"/>
      <c r="AE32" s="184"/>
      <c r="AF32" s="361"/>
      <c r="AG32" s="361"/>
    </row>
    <row r="33" spans="1:33" s="183" customFormat="1" ht="15.95" customHeight="1">
      <c r="A33" s="192"/>
      <c r="B33" s="199"/>
      <c r="C33" s="122"/>
      <c r="D33" s="421"/>
      <c r="E33" s="422"/>
      <c r="F33" s="439"/>
      <c r="G33" s="411"/>
      <c r="H33" s="423"/>
      <c r="I33" s="440" t="s">
        <v>14</v>
      </c>
      <c r="J33" s="215">
        <v>4750000</v>
      </c>
      <c r="K33" s="45" t="s">
        <v>299</v>
      </c>
      <c r="L33" s="46" t="s">
        <v>315</v>
      </c>
      <c r="M33" s="29">
        <v>2</v>
      </c>
      <c r="N33" s="29" t="s">
        <v>313</v>
      </c>
      <c r="O33" s="30" t="s">
        <v>317</v>
      </c>
      <c r="P33" s="215">
        <f>+J33*M33</f>
        <v>9500000</v>
      </c>
      <c r="Q33" s="32" t="s">
        <v>299</v>
      </c>
      <c r="R33" s="184"/>
      <c r="AE33" s="184"/>
      <c r="AF33" s="361"/>
      <c r="AG33" s="361"/>
    </row>
    <row r="34" spans="1:33" s="183" customFormat="1" ht="15.95" customHeight="1">
      <c r="A34" s="192"/>
      <c r="B34" s="314"/>
      <c r="C34" s="123"/>
      <c r="D34" s="426"/>
      <c r="E34" s="427"/>
      <c r="F34" s="64"/>
      <c r="G34" s="416"/>
      <c r="H34" s="428"/>
      <c r="I34" s="437" t="s">
        <v>148</v>
      </c>
      <c r="J34" s="212">
        <v>300000</v>
      </c>
      <c r="K34" s="39" t="s">
        <v>299</v>
      </c>
      <c r="L34" s="40" t="s">
        <v>315</v>
      </c>
      <c r="M34" s="41">
        <v>3</v>
      </c>
      <c r="N34" s="41" t="s">
        <v>313</v>
      </c>
      <c r="O34" s="42" t="s">
        <v>317</v>
      </c>
      <c r="P34" s="212">
        <f>+J34*M34</f>
        <v>900000</v>
      </c>
      <c r="Q34" s="43" t="s">
        <v>299</v>
      </c>
      <c r="R34" s="184"/>
      <c r="AE34" s="184"/>
      <c r="AF34" s="361"/>
      <c r="AG34" s="361"/>
    </row>
    <row r="35" spans="1:33" s="183" customFormat="1" ht="20.100000000000001" customHeight="1">
      <c r="A35" s="171" t="s">
        <v>319</v>
      </c>
      <c r="B35" s="441" t="s">
        <v>310</v>
      </c>
      <c r="C35" s="397" t="s">
        <v>322</v>
      </c>
      <c r="D35" s="398">
        <f>SUM(D36,D40,D43)</f>
        <v>13800</v>
      </c>
      <c r="E35" s="399">
        <f>SUM(E36:E48)</f>
        <v>9100</v>
      </c>
      <c r="F35" s="400">
        <f>SUM(F36,F43)</f>
        <v>12549</v>
      </c>
      <c r="G35" s="401">
        <f t="shared" si="1"/>
        <v>-4700</v>
      </c>
      <c r="H35" s="402">
        <f t="shared" si="0"/>
        <v>-34.057971014492757</v>
      </c>
      <c r="I35" s="442"/>
      <c r="J35" s="215"/>
      <c r="K35" s="45"/>
      <c r="L35" s="29"/>
      <c r="M35" s="29"/>
      <c r="N35" s="29"/>
      <c r="O35" s="29"/>
      <c r="P35" s="215">
        <f>SUM(P36,P40,P43)</f>
        <v>9100000</v>
      </c>
      <c r="Q35" s="32" t="s">
        <v>299</v>
      </c>
      <c r="R35" s="184"/>
      <c r="AE35" s="184"/>
      <c r="AF35" s="361"/>
      <c r="AG35" s="361"/>
    </row>
    <row r="36" spans="1:33" s="183" customFormat="1" ht="15.95" customHeight="1">
      <c r="A36" s="192"/>
      <c r="B36" s="263" t="s">
        <v>331</v>
      </c>
      <c r="C36" s="405" t="s">
        <v>65</v>
      </c>
      <c r="D36" s="418">
        <v>2300</v>
      </c>
      <c r="E36" s="419">
        <f>+P36/1000</f>
        <v>2300</v>
      </c>
      <c r="F36" s="128">
        <v>9823</v>
      </c>
      <c r="G36" s="407">
        <f t="shared" si="1"/>
        <v>0</v>
      </c>
      <c r="H36" s="408">
        <f t="shared" si="0"/>
        <v>0</v>
      </c>
      <c r="I36" s="34"/>
      <c r="J36" s="198"/>
      <c r="K36" s="35"/>
      <c r="L36" s="66"/>
      <c r="M36" s="118" t="s">
        <v>336</v>
      </c>
      <c r="N36" s="118"/>
      <c r="O36" s="118"/>
      <c r="P36" s="198">
        <f>SUM(P37:P39)</f>
        <v>2300000</v>
      </c>
      <c r="Q36" s="18" t="s">
        <v>299</v>
      </c>
      <c r="R36" s="184"/>
      <c r="AE36" s="184"/>
      <c r="AF36" s="361"/>
      <c r="AG36" s="361"/>
    </row>
    <row r="37" spans="1:33" s="183" customFormat="1" ht="15.95" customHeight="1">
      <c r="A37" s="192"/>
      <c r="B37" s="199"/>
      <c r="C37" s="122"/>
      <c r="D37" s="421"/>
      <c r="E37" s="422"/>
      <c r="F37" s="130"/>
      <c r="G37" s="411"/>
      <c r="H37" s="412"/>
      <c r="I37" s="44" t="s">
        <v>54</v>
      </c>
      <c r="J37" s="215">
        <v>100000</v>
      </c>
      <c r="K37" s="45" t="s">
        <v>299</v>
      </c>
      <c r="L37" s="46" t="s">
        <v>315</v>
      </c>
      <c r="M37" s="29">
        <v>12</v>
      </c>
      <c r="N37" s="29" t="s">
        <v>314</v>
      </c>
      <c r="O37" s="30" t="s">
        <v>317</v>
      </c>
      <c r="P37" s="215">
        <v>500000</v>
      </c>
      <c r="Q37" s="32" t="s">
        <v>299</v>
      </c>
      <c r="R37" s="184"/>
      <c r="AE37" s="184"/>
      <c r="AF37" s="361"/>
      <c r="AG37" s="361"/>
    </row>
    <row r="38" spans="1:33" s="183" customFormat="1" ht="15.95" customHeight="1">
      <c r="A38" s="192"/>
      <c r="B38" s="199"/>
      <c r="C38" s="122"/>
      <c r="D38" s="421"/>
      <c r="E38" s="422"/>
      <c r="F38" s="129"/>
      <c r="G38" s="411"/>
      <c r="H38" s="412"/>
      <c r="I38" s="424" t="s">
        <v>98</v>
      </c>
      <c r="J38" s="215">
        <v>20000</v>
      </c>
      <c r="K38" s="45" t="s">
        <v>299</v>
      </c>
      <c r="L38" s="46" t="s">
        <v>315</v>
      </c>
      <c r="M38" s="29">
        <v>5</v>
      </c>
      <c r="N38" s="29" t="s">
        <v>313</v>
      </c>
      <c r="O38" s="30" t="s">
        <v>317</v>
      </c>
      <c r="P38" s="215">
        <f>SUM(J38*M38)</f>
        <v>100000</v>
      </c>
      <c r="Q38" s="32" t="s">
        <v>299</v>
      </c>
      <c r="R38" s="184"/>
      <c r="AE38" s="184"/>
      <c r="AF38" s="361"/>
      <c r="AG38" s="361"/>
    </row>
    <row r="39" spans="1:33" s="183" customFormat="1" ht="15.95" customHeight="1">
      <c r="A39" s="443"/>
      <c r="B39" s="199"/>
      <c r="C39" s="123"/>
      <c r="D39" s="426"/>
      <c r="E39" s="427"/>
      <c r="F39" s="65"/>
      <c r="G39" s="416"/>
      <c r="H39" s="417"/>
      <c r="I39" s="437" t="s">
        <v>397</v>
      </c>
      <c r="J39" s="215">
        <v>100000</v>
      </c>
      <c r="K39" s="45" t="s">
        <v>299</v>
      </c>
      <c r="L39" s="46" t="s">
        <v>315</v>
      </c>
      <c r="M39" s="29">
        <v>10</v>
      </c>
      <c r="N39" s="29" t="s">
        <v>313</v>
      </c>
      <c r="O39" s="30" t="s">
        <v>317</v>
      </c>
      <c r="P39" s="215">
        <v>1700000</v>
      </c>
      <c r="Q39" s="32" t="s">
        <v>299</v>
      </c>
      <c r="R39" s="184"/>
      <c r="AE39" s="184"/>
      <c r="AF39" s="361"/>
      <c r="AG39" s="361"/>
    </row>
    <row r="40" spans="1:33" s="183" customFormat="1" ht="15.95" customHeight="1">
      <c r="A40" s="444"/>
      <c r="B40" s="263"/>
      <c r="C40" s="405" t="s">
        <v>174</v>
      </c>
      <c r="D40" s="418">
        <v>1300</v>
      </c>
      <c r="E40" s="419">
        <f>P40/1000</f>
        <v>1300</v>
      </c>
      <c r="F40" s="63"/>
      <c r="G40" s="407">
        <f>E40-D40</f>
        <v>0</v>
      </c>
      <c r="H40" s="420">
        <f>G40/D40*100</f>
        <v>0</v>
      </c>
      <c r="I40" s="445"/>
      <c r="J40" s="198"/>
      <c r="K40" s="35"/>
      <c r="L40" s="66"/>
      <c r="M40" s="118" t="s">
        <v>336</v>
      </c>
      <c r="N40" s="118"/>
      <c r="O40" s="118"/>
      <c r="P40" s="198">
        <f>SUM(P41:P42)</f>
        <v>1300000</v>
      </c>
      <c r="Q40" s="18" t="s">
        <v>299</v>
      </c>
      <c r="R40" s="184"/>
      <c r="AE40" s="184"/>
      <c r="AF40" s="361"/>
      <c r="AG40" s="361"/>
    </row>
    <row r="41" spans="1:33" s="183" customFormat="1" ht="15.95" customHeight="1">
      <c r="A41" s="192"/>
      <c r="B41" s="263"/>
      <c r="C41" s="122"/>
      <c r="D41" s="421"/>
      <c r="E41" s="422"/>
      <c r="F41" s="65"/>
      <c r="G41" s="411"/>
      <c r="H41" s="423"/>
      <c r="I41" s="44" t="s">
        <v>21</v>
      </c>
      <c r="J41" s="215">
        <v>250000</v>
      </c>
      <c r="K41" s="45" t="s">
        <v>299</v>
      </c>
      <c r="L41" s="46" t="s">
        <v>315</v>
      </c>
      <c r="M41" s="29">
        <v>2</v>
      </c>
      <c r="N41" s="29" t="s">
        <v>313</v>
      </c>
      <c r="O41" s="30" t="s">
        <v>317</v>
      </c>
      <c r="P41" s="215">
        <f>SUM(J41*M41)</f>
        <v>500000</v>
      </c>
      <c r="Q41" s="32" t="s">
        <v>299</v>
      </c>
      <c r="R41" s="184"/>
      <c r="AE41" s="184"/>
      <c r="AF41" s="361"/>
      <c r="AG41" s="361"/>
    </row>
    <row r="42" spans="1:33" s="183" customFormat="1" ht="15.95" customHeight="1">
      <c r="A42" s="192"/>
      <c r="B42" s="199"/>
      <c r="C42" s="123"/>
      <c r="D42" s="426"/>
      <c r="E42" s="427"/>
      <c r="F42" s="65"/>
      <c r="G42" s="416"/>
      <c r="H42" s="428"/>
      <c r="I42" s="44" t="s">
        <v>250</v>
      </c>
      <c r="J42" s="215">
        <v>200000</v>
      </c>
      <c r="K42" s="45" t="s">
        <v>299</v>
      </c>
      <c r="L42" s="46" t="s">
        <v>315</v>
      </c>
      <c r="M42" s="29">
        <v>4</v>
      </c>
      <c r="N42" s="29" t="s">
        <v>313</v>
      </c>
      <c r="O42" s="30" t="s">
        <v>317</v>
      </c>
      <c r="P42" s="215">
        <f>SUM(J42*M42)</f>
        <v>800000</v>
      </c>
      <c r="Q42" s="32" t="s">
        <v>299</v>
      </c>
      <c r="R42" s="184"/>
      <c r="AE42" s="184"/>
      <c r="AF42" s="361"/>
      <c r="AG42" s="361"/>
    </row>
    <row r="43" spans="1:33" s="183" customFormat="1" ht="15.95" customHeight="1">
      <c r="A43" s="192"/>
      <c r="B43" s="199"/>
      <c r="C43" s="109" t="s">
        <v>309</v>
      </c>
      <c r="D43" s="418">
        <v>10200</v>
      </c>
      <c r="E43" s="419">
        <f>+P43/1000</f>
        <v>5500</v>
      </c>
      <c r="F43" s="128">
        <v>2726</v>
      </c>
      <c r="G43" s="407">
        <f t="shared" si="1"/>
        <v>-4700</v>
      </c>
      <c r="H43" s="420">
        <f>+G43/D43*100</f>
        <v>-46.078431372549019</v>
      </c>
      <c r="I43" s="34"/>
      <c r="J43" s="198"/>
      <c r="K43" s="35"/>
      <c r="L43" s="66"/>
      <c r="M43" s="118" t="s">
        <v>336</v>
      </c>
      <c r="N43" s="118"/>
      <c r="O43" s="118"/>
      <c r="P43" s="198">
        <f>SUM(P44:P48)</f>
        <v>5500000</v>
      </c>
      <c r="Q43" s="18" t="s">
        <v>299</v>
      </c>
      <c r="R43" s="184"/>
      <c r="AE43" s="184"/>
      <c r="AF43" s="361"/>
      <c r="AG43" s="361"/>
    </row>
    <row r="44" spans="1:33" s="183" customFormat="1" ht="15.95" customHeight="1">
      <c r="A44" s="192"/>
      <c r="B44" s="199"/>
      <c r="C44" s="110"/>
      <c r="D44" s="421"/>
      <c r="E44" s="422"/>
      <c r="F44" s="130"/>
      <c r="G44" s="411">
        <f t="shared" si="1"/>
        <v>0</v>
      </c>
      <c r="H44" s="423" t="e">
        <f>+G44/D44*100</f>
        <v>#DIV/0!</v>
      </c>
      <c r="I44" s="44" t="s">
        <v>466</v>
      </c>
      <c r="J44" s="215">
        <v>200000</v>
      </c>
      <c r="K44" s="45" t="s">
        <v>299</v>
      </c>
      <c r="L44" s="46" t="s">
        <v>315</v>
      </c>
      <c r="M44" s="29">
        <v>2</v>
      </c>
      <c r="N44" s="29" t="s">
        <v>313</v>
      </c>
      <c r="O44" s="30" t="s">
        <v>317</v>
      </c>
      <c r="P44" s="215">
        <v>400000</v>
      </c>
      <c r="Q44" s="32" t="s">
        <v>299</v>
      </c>
      <c r="R44" s="184"/>
      <c r="AE44" s="184"/>
      <c r="AF44" s="361"/>
      <c r="AG44" s="361"/>
    </row>
    <row r="45" spans="1:33" s="183" customFormat="1" ht="15.95" customHeight="1">
      <c r="A45" s="192"/>
      <c r="B45" s="199"/>
      <c r="C45" s="110"/>
      <c r="D45" s="421"/>
      <c r="E45" s="422"/>
      <c r="F45" s="130"/>
      <c r="G45" s="411"/>
      <c r="H45" s="423"/>
      <c r="I45" s="44" t="s">
        <v>60</v>
      </c>
      <c r="J45" s="215">
        <v>1750000</v>
      </c>
      <c r="K45" s="45" t="s">
        <v>299</v>
      </c>
      <c r="L45" s="46" t="s">
        <v>315</v>
      </c>
      <c r="M45" s="29">
        <v>2</v>
      </c>
      <c r="N45" s="29" t="s">
        <v>313</v>
      </c>
      <c r="O45" s="30" t="s">
        <v>317</v>
      </c>
      <c r="P45" s="215">
        <f>SUM(J45*M45)</f>
        <v>3500000</v>
      </c>
      <c r="Q45" s="32" t="s">
        <v>299</v>
      </c>
      <c r="R45" s="184"/>
      <c r="AE45" s="184"/>
      <c r="AF45" s="361"/>
      <c r="AG45" s="361"/>
    </row>
    <row r="46" spans="1:33" s="183" customFormat="1" ht="15.95" customHeight="1">
      <c r="A46" s="192"/>
      <c r="B46" s="199"/>
      <c r="C46" s="110"/>
      <c r="D46" s="421"/>
      <c r="E46" s="422"/>
      <c r="F46" s="130"/>
      <c r="G46" s="411">
        <f t="shared" si="1"/>
        <v>0</v>
      </c>
      <c r="H46" s="423" t="e">
        <f t="shared" ref="H46:H56" si="3">+G46/D46*100</f>
        <v>#DIV/0!</v>
      </c>
      <c r="I46" s="44" t="s">
        <v>463</v>
      </c>
      <c r="J46" s="215">
        <v>500000</v>
      </c>
      <c r="K46" s="45" t="s">
        <v>299</v>
      </c>
      <c r="L46" s="46" t="s">
        <v>315</v>
      </c>
      <c r="M46" s="29">
        <v>2</v>
      </c>
      <c r="N46" s="29" t="s">
        <v>313</v>
      </c>
      <c r="O46" s="30" t="s">
        <v>317</v>
      </c>
      <c r="P46" s="215">
        <f>SUM(J46*M46)</f>
        <v>1000000</v>
      </c>
      <c r="Q46" s="32" t="s">
        <v>299</v>
      </c>
      <c r="R46" s="184"/>
      <c r="AE46" s="184"/>
      <c r="AF46" s="361"/>
      <c r="AG46" s="361"/>
    </row>
    <row r="47" spans="1:33" s="183" customFormat="1" ht="15.95" customHeight="1">
      <c r="A47" s="192"/>
      <c r="B47" s="199"/>
      <c r="C47" s="110"/>
      <c r="D47" s="421"/>
      <c r="E47" s="422"/>
      <c r="F47" s="130"/>
      <c r="G47" s="411"/>
      <c r="H47" s="423"/>
      <c r="I47" s="44" t="s">
        <v>246</v>
      </c>
      <c r="J47" s="215">
        <v>100000</v>
      </c>
      <c r="K47" s="45" t="s">
        <v>299</v>
      </c>
      <c r="L47" s="46" t="s">
        <v>315</v>
      </c>
      <c r="M47" s="29">
        <v>2</v>
      </c>
      <c r="N47" s="29" t="s">
        <v>313</v>
      </c>
      <c r="O47" s="30" t="s">
        <v>317</v>
      </c>
      <c r="P47" s="215">
        <f>SUM(J47*M47)</f>
        <v>200000</v>
      </c>
      <c r="Q47" s="32" t="s">
        <v>299</v>
      </c>
      <c r="R47" s="184"/>
      <c r="AE47" s="184"/>
      <c r="AF47" s="361"/>
      <c r="AG47" s="361"/>
    </row>
    <row r="48" spans="1:33" s="183" customFormat="1" ht="15.95" customHeight="1">
      <c r="A48" s="192"/>
      <c r="B48" s="199"/>
      <c r="C48" s="110"/>
      <c r="D48" s="421"/>
      <c r="E48" s="422"/>
      <c r="F48" s="129"/>
      <c r="G48" s="411">
        <f t="shared" si="1"/>
        <v>0</v>
      </c>
      <c r="H48" s="423" t="e">
        <f t="shared" si="3"/>
        <v>#DIV/0!</v>
      </c>
      <c r="I48" s="44" t="s">
        <v>373</v>
      </c>
      <c r="J48" s="215">
        <v>100000</v>
      </c>
      <c r="K48" s="45" t="s">
        <v>299</v>
      </c>
      <c r="L48" s="46" t="s">
        <v>315</v>
      </c>
      <c r="M48" s="29">
        <v>4</v>
      </c>
      <c r="N48" s="29" t="s">
        <v>313</v>
      </c>
      <c r="O48" s="30" t="s">
        <v>317</v>
      </c>
      <c r="P48" s="215">
        <f>SUM(J48*M48)</f>
        <v>400000</v>
      </c>
      <c r="Q48" s="32" t="s">
        <v>299</v>
      </c>
      <c r="R48" s="184"/>
      <c r="AE48" s="184"/>
      <c r="AF48" s="361"/>
      <c r="AG48" s="361"/>
    </row>
    <row r="49" spans="1:33" s="183" customFormat="1" ht="20.100000000000001" customHeight="1">
      <c r="A49" s="192"/>
      <c r="B49" s="316" t="s">
        <v>352</v>
      </c>
      <c r="C49" s="446" t="s">
        <v>322</v>
      </c>
      <c r="D49" s="447">
        <f>SUM(D50:D62,D63:D76)</f>
        <v>579675</v>
      </c>
      <c r="E49" s="448">
        <f>SUM(E50:E76)</f>
        <v>812583.8</v>
      </c>
      <c r="F49" s="449">
        <f>SUM(F50:F62,F63:F76)</f>
        <v>274672</v>
      </c>
      <c r="G49" s="450">
        <f>E49-D49</f>
        <v>232908.80000000005</v>
      </c>
      <c r="H49" s="451">
        <f t="shared" si="3"/>
        <v>40.179203864234275</v>
      </c>
      <c r="I49" s="34"/>
      <c r="J49" s="198"/>
      <c r="K49" s="35"/>
      <c r="L49" s="35"/>
      <c r="M49" s="35"/>
      <c r="N49" s="35"/>
      <c r="O49" s="35"/>
      <c r="P49" s="191">
        <f>SUM(P50,P52,P59,P63,P67,P74)</f>
        <v>812583800</v>
      </c>
      <c r="Q49" s="18" t="s">
        <v>299</v>
      </c>
      <c r="R49" s="184"/>
      <c r="AE49" s="184"/>
      <c r="AF49" s="361"/>
      <c r="AG49" s="361"/>
    </row>
    <row r="50" spans="1:33" s="183" customFormat="1" ht="15.95" customHeight="1">
      <c r="A50" s="192"/>
      <c r="B50" s="199"/>
      <c r="C50" s="109" t="s">
        <v>356</v>
      </c>
      <c r="D50" s="418">
        <v>500</v>
      </c>
      <c r="E50" s="419">
        <f>+P50/1000</f>
        <v>500</v>
      </c>
      <c r="F50" s="128">
        <v>107</v>
      </c>
      <c r="G50" s="407">
        <f t="shared" si="1"/>
        <v>0</v>
      </c>
      <c r="H50" s="420">
        <f t="shared" si="3"/>
        <v>0</v>
      </c>
      <c r="I50" s="34"/>
      <c r="J50" s="198"/>
      <c r="K50" s="35"/>
      <c r="L50" s="66"/>
      <c r="M50" s="66" t="s">
        <v>336</v>
      </c>
      <c r="N50" s="66"/>
      <c r="O50" s="66"/>
      <c r="P50" s="198">
        <f>SUM(P51)</f>
        <v>500000</v>
      </c>
      <c r="Q50" s="18" t="s">
        <v>299</v>
      </c>
      <c r="R50" s="184"/>
      <c r="AE50" s="184"/>
      <c r="AF50" s="361"/>
      <c r="AG50" s="361"/>
    </row>
    <row r="51" spans="1:33" s="183" customFormat="1" ht="15.95" customHeight="1">
      <c r="A51" s="192"/>
      <c r="B51" s="452"/>
      <c r="C51" s="124"/>
      <c r="D51" s="426"/>
      <c r="E51" s="427"/>
      <c r="F51" s="129"/>
      <c r="G51" s="416">
        <f t="shared" si="1"/>
        <v>0</v>
      </c>
      <c r="H51" s="428" t="e">
        <f t="shared" si="3"/>
        <v>#DIV/0!</v>
      </c>
      <c r="I51" s="37" t="s">
        <v>217</v>
      </c>
      <c r="J51" s="212">
        <v>100000</v>
      </c>
      <c r="K51" s="39" t="s">
        <v>299</v>
      </c>
      <c r="L51" s="40" t="s">
        <v>315</v>
      </c>
      <c r="M51" s="41">
        <v>5</v>
      </c>
      <c r="N51" s="41" t="s">
        <v>313</v>
      </c>
      <c r="O51" s="42" t="s">
        <v>317</v>
      </c>
      <c r="P51" s="212">
        <f>SUM(J51*M51)</f>
        <v>500000</v>
      </c>
      <c r="Q51" s="43" t="s">
        <v>299</v>
      </c>
      <c r="R51" s="184"/>
      <c r="AE51" s="184"/>
      <c r="AF51" s="361"/>
      <c r="AG51" s="361"/>
    </row>
    <row r="52" spans="1:33" s="183" customFormat="1" ht="15.95" customHeight="1">
      <c r="A52" s="192"/>
      <c r="B52" s="199"/>
      <c r="C52" s="453" t="s">
        <v>270</v>
      </c>
      <c r="D52" s="418">
        <v>212444</v>
      </c>
      <c r="E52" s="419">
        <f>+P52/1000</f>
        <v>208844</v>
      </c>
      <c r="F52" s="128">
        <v>27504</v>
      </c>
      <c r="G52" s="407">
        <f t="shared" si="1"/>
        <v>-3600</v>
      </c>
      <c r="H52" s="420">
        <f t="shared" si="3"/>
        <v>-1.6945642145694866</v>
      </c>
      <c r="I52" s="34"/>
      <c r="J52" s="198"/>
      <c r="K52" s="35"/>
      <c r="L52" s="35"/>
      <c r="M52" s="118" t="s">
        <v>336</v>
      </c>
      <c r="N52" s="118"/>
      <c r="O52" s="118"/>
      <c r="P52" s="191">
        <f>SUM(P53:P58)</f>
        <v>208844000</v>
      </c>
      <c r="Q52" s="18" t="s">
        <v>299</v>
      </c>
      <c r="R52" s="184"/>
      <c r="AE52" s="184"/>
      <c r="AF52" s="361"/>
      <c r="AG52" s="361"/>
    </row>
    <row r="53" spans="1:33" s="183" customFormat="1" ht="15.95" customHeight="1">
      <c r="A53" s="192"/>
      <c r="B53" s="199"/>
      <c r="C53" s="454"/>
      <c r="D53" s="421"/>
      <c r="E53" s="422"/>
      <c r="F53" s="130"/>
      <c r="G53" s="411"/>
      <c r="H53" s="423"/>
      <c r="I53" s="44" t="s">
        <v>371</v>
      </c>
      <c r="J53" s="215">
        <v>15157000</v>
      </c>
      <c r="K53" s="45" t="s">
        <v>314</v>
      </c>
      <c r="L53" s="29" t="s">
        <v>315</v>
      </c>
      <c r="M53" s="29">
        <v>12</v>
      </c>
      <c r="N53" s="29" t="s">
        <v>314</v>
      </c>
      <c r="O53" s="29" t="s">
        <v>323</v>
      </c>
      <c r="P53" s="231">
        <f>J53*M53</f>
        <v>181884000</v>
      </c>
      <c r="Q53" s="32" t="s">
        <v>299</v>
      </c>
      <c r="R53" s="184"/>
      <c r="AE53" s="184"/>
      <c r="AF53" s="361"/>
      <c r="AG53" s="361"/>
    </row>
    <row r="54" spans="1:33" s="183" customFormat="1" ht="15.95" customHeight="1">
      <c r="A54" s="192"/>
      <c r="B54" s="199"/>
      <c r="C54" s="110"/>
      <c r="D54" s="421"/>
      <c r="E54" s="422"/>
      <c r="F54" s="130"/>
      <c r="G54" s="411">
        <f t="shared" si="1"/>
        <v>0</v>
      </c>
      <c r="H54" s="423" t="e">
        <f t="shared" si="3"/>
        <v>#DIV/0!</v>
      </c>
      <c r="I54" s="44" t="s">
        <v>446</v>
      </c>
      <c r="J54" s="215">
        <v>2805000</v>
      </c>
      <c r="K54" s="45" t="s">
        <v>299</v>
      </c>
      <c r="L54" s="46" t="s">
        <v>315</v>
      </c>
      <c r="M54" s="29">
        <v>2</v>
      </c>
      <c r="N54" s="29" t="s">
        <v>313</v>
      </c>
      <c r="O54" s="30" t="s">
        <v>317</v>
      </c>
      <c r="P54" s="215">
        <f>SUM(J54*M54)</f>
        <v>5610000</v>
      </c>
      <c r="Q54" s="32" t="s">
        <v>299</v>
      </c>
      <c r="R54" s="184"/>
      <c r="AE54" s="184"/>
      <c r="AF54" s="361"/>
      <c r="AG54" s="361"/>
    </row>
    <row r="55" spans="1:33" s="183" customFormat="1" ht="15.95" customHeight="1">
      <c r="A55" s="192"/>
      <c r="B55" s="199"/>
      <c r="C55" s="110"/>
      <c r="D55" s="421"/>
      <c r="E55" s="422"/>
      <c r="F55" s="130"/>
      <c r="G55" s="411"/>
      <c r="H55" s="423"/>
      <c r="I55" s="44" t="s">
        <v>408</v>
      </c>
      <c r="J55" s="215">
        <v>2875000</v>
      </c>
      <c r="K55" s="45" t="s">
        <v>299</v>
      </c>
      <c r="L55" s="46" t="s">
        <v>315</v>
      </c>
      <c r="M55" s="29">
        <v>2</v>
      </c>
      <c r="N55" s="29" t="s">
        <v>313</v>
      </c>
      <c r="O55" s="30" t="s">
        <v>317</v>
      </c>
      <c r="P55" s="215">
        <f>SUM(J55*M55)</f>
        <v>5750000</v>
      </c>
      <c r="Q55" s="32" t="s">
        <v>299</v>
      </c>
      <c r="R55" s="184"/>
      <c r="AE55" s="184"/>
      <c r="AF55" s="361"/>
      <c r="AG55" s="361"/>
    </row>
    <row r="56" spans="1:33" s="183" customFormat="1" ht="15.95" customHeight="1">
      <c r="A56" s="192"/>
      <c r="B56" s="199"/>
      <c r="C56" s="110"/>
      <c r="D56" s="421"/>
      <c r="E56" s="422"/>
      <c r="F56" s="130"/>
      <c r="G56" s="411">
        <f t="shared" si="1"/>
        <v>0</v>
      </c>
      <c r="H56" s="423" t="e">
        <f t="shared" si="3"/>
        <v>#DIV/0!</v>
      </c>
      <c r="I56" s="44" t="s">
        <v>76</v>
      </c>
      <c r="J56" s="215">
        <v>900000</v>
      </c>
      <c r="K56" s="45" t="s">
        <v>299</v>
      </c>
      <c r="L56" s="46" t="s">
        <v>315</v>
      </c>
      <c r="M56" s="29">
        <v>12</v>
      </c>
      <c r="N56" s="29" t="s">
        <v>314</v>
      </c>
      <c r="O56" s="30" t="s">
        <v>317</v>
      </c>
      <c r="P56" s="215">
        <f>SUM(J56*M56)</f>
        <v>10800000</v>
      </c>
      <c r="Q56" s="32" t="s">
        <v>299</v>
      </c>
      <c r="R56" s="184"/>
      <c r="AE56" s="184"/>
      <c r="AF56" s="361"/>
      <c r="AG56" s="361"/>
    </row>
    <row r="57" spans="1:33" s="183" customFormat="1" ht="15.95" customHeight="1">
      <c r="A57" s="192"/>
      <c r="B57" s="199"/>
      <c r="C57" s="110"/>
      <c r="D57" s="421"/>
      <c r="E57" s="422"/>
      <c r="F57" s="130"/>
      <c r="G57" s="411"/>
      <c r="H57" s="423"/>
      <c r="I57" s="44" t="s">
        <v>130</v>
      </c>
      <c r="J57" s="215">
        <v>200000</v>
      </c>
      <c r="K57" s="45" t="s">
        <v>299</v>
      </c>
      <c r="L57" s="46" t="s">
        <v>315</v>
      </c>
      <c r="M57" s="29">
        <v>12</v>
      </c>
      <c r="N57" s="29" t="s">
        <v>314</v>
      </c>
      <c r="O57" s="30" t="s">
        <v>317</v>
      </c>
      <c r="P57" s="215">
        <f>SUM(J57*M57)</f>
        <v>2400000</v>
      </c>
      <c r="Q57" s="32" t="s">
        <v>299</v>
      </c>
      <c r="R57" s="184"/>
      <c r="AE57" s="184"/>
      <c r="AF57" s="361"/>
      <c r="AG57" s="361"/>
    </row>
    <row r="58" spans="1:33" s="183" customFormat="1" ht="15.95" customHeight="1">
      <c r="A58" s="192"/>
      <c r="B58" s="199"/>
      <c r="C58" s="124"/>
      <c r="D58" s="426"/>
      <c r="E58" s="427"/>
      <c r="F58" s="129"/>
      <c r="G58" s="416">
        <f t="shared" si="1"/>
        <v>0</v>
      </c>
      <c r="H58" s="428" t="e">
        <f t="shared" ref="H58:H67" si="4">+G58/D58*100</f>
        <v>#DIV/0!</v>
      </c>
      <c r="I58" s="37" t="s">
        <v>96</v>
      </c>
      <c r="J58" s="212">
        <v>200000</v>
      </c>
      <c r="K58" s="39" t="s">
        <v>299</v>
      </c>
      <c r="L58" s="40" t="s">
        <v>315</v>
      </c>
      <c r="M58" s="41">
        <v>12</v>
      </c>
      <c r="N58" s="41" t="s">
        <v>314</v>
      </c>
      <c r="O58" s="42" t="s">
        <v>317</v>
      </c>
      <c r="P58" s="212">
        <f>SUM(J58*M58)</f>
        <v>2400000</v>
      </c>
      <c r="Q58" s="43" t="s">
        <v>299</v>
      </c>
      <c r="R58" s="184"/>
      <c r="AE58" s="184"/>
      <c r="AF58" s="361"/>
      <c r="AG58" s="361"/>
    </row>
    <row r="59" spans="1:33" s="183" customFormat="1" ht="15.95" customHeight="1">
      <c r="A59" s="192"/>
      <c r="B59" s="199"/>
      <c r="C59" s="110" t="s">
        <v>110</v>
      </c>
      <c r="D59" s="421">
        <v>8220</v>
      </c>
      <c r="E59" s="422">
        <f>P59/1000</f>
        <v>8220</v>
      </c>
      <c r="F59" s="130">
        <v>9102</v>
      </c>
      <c r="G59" s="411">
        <f>+E59-D59</f>
        <v>0</v>
      </c>
      <c r="H59" s="423">
        <f t="shared" si="4"/>
        <v>0</v>
      </c>
      <c r="I59" s="44"/>
      <c r="J59" s="215"/>
      <c r="K59" s="45"/>
      <c r="L59" s="45"/>
      <c r="M59" s="455" t="s">
        <v>336</v>
      </c>
      <c r="N59" s="455"/>
      <c r="O59" s="455"/>
      <c r="P59" s="231">
        <f>SUM(P60:P62)</f>
        <v>8220000</v>
      </c>
      <c r="Q59" s="32" t="s">
        <v>299</v>
      </c>
      <c r="R59" s="184"/>
      <c r="AE59" s="184"/>
      <c r="AF59" s="361"/>
      <c r="AG59" s="361"/>
    </row>
    <row r="60" spans="1:33" s="183" customFormat="1" ht="15.95" customHeight="1">
      <c r="A60" s="192"/>
      <c r="B60" s="199"/>
      <c r="C60" s="110"/>
      <c r="D60" s="421"/>
      <c r="E60" s="422"/>
      <c r="F60" s="130"/>
      <c r="G60" s="411">
        <f>+E60-D60</f>
        <v>0</v>
      </c>
      <c r="H60" s="423" t="e">
        <f t="shared" si="4"/>
        <v>#DIV/0!</v>
      </c>
      <c r="I60" s="44" t="s">
        <v>417</v>
      </c>
      <c r="J60" s="215">
        <v>400000</v>
      </c>
      <c r="K60" s="45" t="s">
        <v>299</v>
      </c>
      <c r="L60" s="46" t="s">
        <v>315</v>
      </c>
      <c r="M60" s="29">
        <v>12</v>
      </c>
      <c r="N60" s="29" t="s">
        <v>314</v>
      </c>
      <c r="O60" s="30" t="s">
        <v>317</v>
      </c>
      <c r="P60" s="215">
        <f>SUM(J60*M60)</f>
        <v>4800000</v>
      </c>
      <c r="Q60" s="32" t="s">
        <v>299</v>
      </c>
      <c r="R60" s="184"/>
      <c r="AE60" s="184"/>
      <c r="AF60" s="361"/>
      <c r="AG60" s="361"/>
    </row>
    <row r="61" spans="1:33" s="183" customFormat="1" ht="15.95" customHeight="1">
      <c r="A61" s="192"/>
      <c r="B61" s="199"/>
      <c r="C61" s="110"/>
      <c r="D61" s="421"/>
      <c r="E61" s="422"/>
      <c r="F61" s="130"/>
      <c r="G61" s="411">
        <f>+E61-D61</f>
        <v>0</v>
      </c>
      <c r="H61" s="423" t="e">
        <f t="shared" si="4"/>
        <v>#DIV/0!</v>
      </c>
      <c r="I61" s="44" t="s">
        <v>79</v>
      </c>
      <c r="J61" s="215">
        <v>235000</v>
      </c>
      <c r="K61" s="45" t="s">
        <v>299</v>
      </c>
      <c r="L61" s="46" t="s">
        <v>315</v>
      </c>
      <c r="M61" s="29">
        <v>12</v>
      </c>
      <c r="N61" s="29" t="s">
        <v>314</v>
      </c>
      <c r="O61" s="30" t="s">
        <v>317</v>
      </c>
      <c r="P61" s="215">
        <f>SUM(J61*M61)</f>
        <v>2820000</v>
      </c>
      <c r="Q61" s="32" t="s">
        <v>299</v>
      </c>
      <c r="R61" s="184"/>
      <c r="AE61" s="184"/>
      <c r="AF61" s="361"/>
      <c r="AG61" s="361"/>
    </row>
    <row r="62" spans="1:33" s="183" customFormat="1" ht="15.95" customHeight="1">
      <c r="A62" s="192"/>
      <c r="B62" s="199"/>
      <c r="C62" s="110"/>
      <c r="D62" s="421"/>
      <c r="E62" s="422"/>
      <c r="F62" s="130"/>
      <c r="G62" s="411">
        <f>+E62-D62</f>
        <v>0</v>
      </c>
      <c r="H62" s="423" t="e">
        <f t="shared" si="4"/>
        <v>#DIV/0!</v>
      </c>
      <c r="I62" s="44" t="s">
        <v>147</v>
      </c>
      <c r="J62" s="215">
        <v>50000</v>
      </c>
      <c r="K62" s="45" t="s">
        <v>299</v>
      </c>
      <c r="L62" s="46" t="s">
        <v>315</v>
      </c>
      <c r="M62" s="29">
        <v>12</v>
      </c>
      <c r="N62" s="29" t="s">
        <v>313</v>
      </c>
      <c r="O62" s="30" t="s">
        <v>317</v>
      </c>
      <c r="P62" s="215">
        <f>SUM(J62*M62)</f>
        <v>600000</v>
      </c>
      <c r="Q62" s="32" t="s">
        <v>299</v>
      </c>
      <c r="R62" s="184"/>
      <c r="AE62" s="184"/>
      <c r="AF62" s="361"/>
      <c r="AG62" s="361"/>
    </row>
    <row r="63" spans="1:33" s="183" customFormat="1" ht="15.95" customHeight="1">
      <c r="A63" s="192" t="s">
        <v>330</v>
      </c>
      <c r="B63" s="199" t="s">
        <v>330</v>
      </c>
      <c r="C63" s="405" t="s">
        <v>61</v>
      </c>
      <c r="D63" s="418">
        <v>61460</v>
      </c>
      <c r="E63" s="419">
        <f>+P63/1000</f>
        <v>59568.800000000003</v>
      </c>
      <c r="F63" s="128">
        <v>194780</v>
      </c>
      <c r="G63" s="407">
        <f>+E63-D63</f>
        <v>-1891.1999999999971</v>
      </c>
      <c r="H63" s="420">
        <f t="shared" si="4"/>
        <v>-3.0771233322486125</v>
      </c>
      <c r="I63" s="34"/>
      <c r="J63" s="198"/>
      <c r="K63" s="35"/>
      <c r="L63" s="35"/>
      <c r="M63" s="118" t="s">
        <v>336</v>
      </c>
      <c r="N63" s="118"/>
      <c r="O63" s="118"/>
      <c r="P63" s="191">
        <f>SUM(P64:P66)</f>
        <v>59568800</v>
      </c>
      <c r="Q63" s="18" t="s">
        <v>299</v>
      </c>
      <c r="R63" s="184"/>
      <c r="AE63" s="184"/>
      <c r="AF63" s="361"/>
      <c r="AG63" s="361"/>
    </row>
    <row r="64" spans="1:33" s="183" customFormat="1" ht="15.95" customHeight="1">
      <c r="A64" s="192"/>
      <c r="B64" s="199"/>
      <c r="C64" s="122"/>
      <c r="D64" s="421"/>
      <c r="E64" s="422"/>
      <c r="F64" s="130"/>
      <c r="G64" s="411"/>
      <c r="H64" s="423"/>
      <c r="I64" s="44" t="s">
        <v>44</v>
      </c>
      <c r="J64" s="215">
        <v>8960000</v>
      </c>
      <c r="K64" s="45" t="s">
        <v>299</v>
      </c>
      <c r="L64" s="46" t="s">
        <v>315</v>
      </c>
      <c r="M64" s="29">
        <v>6</v>
      </c>
      <c r="N64" s="29" t="s">
        <v>313</v>
      </c>
      <c r="O64" s="30" t="s">
        <v>317</v>
      </c>
      <c r="P64" s="215">
        <f>SUM(J64*M64)</f>
        <v>53760000</v>
      </c>
      <c r="Q64" s="32" t="s">
        <v>299</v>
      </c>
      <c r="R64" s="184"/>
      <c r="AE64" s="184"/>
      <c r="AF64" s="361"/>
      <c r="AG64" s="361"/>
    </row>
    <row r="65" spans="1:33" s="183" customFormat="1" ht="15.95" customHeight="1">
      <c r="A65" s="192"/>
      <c r="B65" s="199"/>
      <c r="C65" s="122"/>
      <c r="D65" s="421"/>
      <c r="E65" s="422"/>
      <c r="F65" s="130"/>
      <c r="G65" s="411"/>
      <c r="H65" s="423"/>
      <c r="I65" s="456" t="s">
        <v>351</v>
      </c>
      <c r="J65" s="215">
        <v>3808800</v>
      </c>
      <c r="K65" s="45" t="s">
        <v>299</v>
      </c>
      <c r="L65" s="46" t="s">
        <v>315</v>
      </c>
      <c r="M65" s="29">
        <v>1</v>
      </c>
      <c r="N65" s="29" t="s">
        <v>313</v>
      </c>
      <c r="O65" s="29" t="s">
        <v>317</v>
      </c>
      <c r="P65" s="215">
        <f>SUM(J65*M65)</f>
        <v>3808800</v>
      </c>
      <c r="Q65" s="32" t="s">
        <v>299</v>
      </c>
      <c r="R65" s="184"/>
      <c r="AE65" s="184"/>
      <c r="AF65" s="361"/>
      <c r="AG65" s="361"/>
    </row>
    <row r="66" spans="1:33" s="183" customFormat="1" ht="15.95" customHeight="1">
      <c r="A66" s="192"/>
      <c r="B66" s="199"/>
      <c r="C66" s="123"/>
      <c r="D66" s="426"/>
      <c r="E66" s="427"/>
      <c r="F66" s="129"/>
      <c r="G66" s="416"/>
      <c r="H66" s="428"/>
      <c r="I66" s="37" t="s">
        <v>377</v>
      </c>
      <c r="J66" s="212">
        <v>1000000</v>
      </c>
      <c r="K66" s="39" t="s">
        <v>299</v>
      </c>
      <c r="L66" s="40" t="s">
        <v>315</v>
      </c>
      <c r="M66" s="41">
        <v>2</v>
      </c>
      <c r="N66" s="41" t="s">
        <v>302</v>
      </c>
      <c r="O66" s="42" t="s">
        <v>317</v>
      </c>
      <c r="P66" s="212">
        <f>SUM(J66*M66)</f>
        <v>2000000</v>
      </c>
      <c r="Q66" s="43" t="s">
        <v>299</v>
      </c>
      <c r="R66" s="184"/>
      <c r="AE66" s="184"/>
      <c r="AF66" s="361"/>
      <c r="AG66" s="361"/>
    </row>
    <row r="67" spans="1:33" s="183" customFormat="1" ht="15.95" customHeight="1">
      <c r="A67" s="171" t="s">
        <v>319</v>
      </c>
      <c r="B67" s="263" t="s">
        <v>352</v>
      </c>
      <c r="C67" s="405" t="s">
        <v>172</v>
      </c>
      <c r="D67" s="418">
        <v>295251</v>
      </c>
      <c r="E67" s="419">
        <f>+P67/1000</f>
        <v>533051</v>
      </c>
      <c r="F67" s="63">
        <v>36590</v>
      </c>
      <c r="G67" s="407">
        <f>E67-D67</f>
        <v>237800</v>
      </c>
      <c r="H67" s="408">
        <f t="shared" si="4"/>
        <v>80.541640841182584</v>
      </c>
      <c r="I67" s="457"/>
      <c r="J67" s="458"/>
      <c r="K67" s="35"/>
      <c r="L67" s="66"/>
      <c r="M67" s="118" t="s">
        <v>336</v>
      </c>
      <c r="N67" s="118"/>
      <c r="O67" s="118"/>
      <c r="P67" s="198">
        <f>SUM(P68:P73)</f>
        <v>533051000</v>
      </c>
      <c r="Q67" s="18" t="s">
        <v>299</v>
      </c>
      <c r="R67" s="184"/>
      <c r="AE67" s="184"/>
      <c r="AF67" s="361"/>
      <c r="AG67" s="361"/>
    </row>
    <row r="68" spans="1:33" s="183" customFormat="1" ht="15.95" customHeight="1">
      <c r="A68" s="192"/>
      <c r="B68" s="199"/>
      <c r="C68" s="122"/>
      <c r="D68" s="421"/>
      <c r="E68" s="422"/>
      <c r="F68" s="65"/>
      <c r="G68" s="411"/>
      <c r="H68" s="412"/>
      <c r="I68" s="44" t="s">
        <v>255</v>
      </c>
      <c r="J68" s="215">
        <v>600000</v>
      </c>
      <c r="K68" s="45" t="s">
        <v>299</v>
      </c>
      <c r="L68" s="46" t="s">
        <v>315</v>
      </c>
      <c r="M68" s="29">
        <v>10</v>
      </c>
      <c r="N68" s="29" t="s">
        <v>343</v>
      </c>
      <c r="O68" s="30" t="s">
        <v>317</v>
      </c>
      <c r="P68" s="215">
        <v>6000000</v>
      </c>
      <c r="Q68" s="32" t="s">
        <v>299</v>
      </c>
      <c r="R68" s="184"/>
      <c r="AE68" s="184"/>
      <c r="AF68" s="361"/>
      <c r="AG68" s="361"/>
    </row>
    <row r="69" spans="1:33" s="183" customFormat="1" ht="15.95" customHeight="1">
      <c r="A69" s="192"/>
      <c r="B69" s="199"/>
      <c r="C69" s="122"/>
      <c r="D69" s="421"/>
      <c r="E69" s="422"/>
      <c r="F69" s="65"/>
      <c r="G69" s="411"/>
      <c r="H69" s="412"/>
      <c r="I69" s="44" t="s">
        <v>121</v>
      </c>
      <c r="J69" s="215">
        <v>24650000</v>
      </c>
      <c r="K69" s="45" t="s">
        <v>299</v>
      </c>
      <c r="L69" s="46" t="s">
        <v>315</v>
      </c>
      <c r="M69" s="29">
        <v>20</v>
      </c>
      <c r="N69" s="29" t="s">
        <v>313</v>
      </c>
      <c r="O69" s="30" t="s">
        <v>317</v>
      </c>
      <c r="P69" s="215">
        <f t="shared" ref="P69:P73" si="5">SUM(J69*M69)</f>
        <v>493000000</v>
      </c>
      <c r="Q69" s="32" t="s">
        <v>299</v>
      </c>
      <c r="R69" s="184"/>
      <c r="AE69" s="184"/>
      <c r="AF69" s="361"/>
      <c r="AG69" s="361"/>
    </row>
    <row r="70" spans="1:33" s="183" customFormat="1" ht="15.95" customHeight="1">
      <c r="A70" s="459"/>
      <c r="B70" s="460"/>
      <c r="C70" s="122"/>
      <c r="D70" s="421"/>
      <c r="E70" s="422"/>
      <c r="F70" s="65"/>
      <c r="G70" s="411"/>
      <c r="H70" s="412"/>
      <c r="I70" s="44" t="s">
        <v>58</v>
      </c>
      <c r="J70" s="215">
        <v>891000</v>
      </c>
      <c r="K70" s="45" t="s">
        <v>299</v>
      </c>
      <c r="L70" s="46" t="s">
        <v>315</v>
      </c>
      <c r="M70" s="29">
        <v>1</v>
      </c>
      <c r="N70" s="29" t="s">
        <v>313</v>
      </c>
      <c r="O70" s="30" t="s">
        <v>317</v>
      </c>
      <c r="P70" s="215">
        <f t="shared" si="5"/>
        <v>891000</v>
      </c>
      <c r="Q70" s="32" t="s">
        <v>299</v>
      </c>
      <c r="R70" s="461"/>
      <c r="S70" s="354"/>
      <c r="T70" s="354"/>
      <c r="U70" s="354"/>
      <c r="V70" s="354"/>
      <c r="W70" s="354"/>
      <c r="X70" s="354"/>
      <c r="Y70" s="354"/>
      <c r="Z70" s="354"/>
      <c r="AA70" s="354"/>
      <c r="AB70" s="354"/>
      <c r="AC70" s="354"/>
      <c r="AD70" s="354"/>
      <c r="AE70" s="461"/>
      <c r="AF70" s="461"/>
      <c r="AG70" s="461"/>
    </row>
    <row r="71" spans="1:33" s="183" customFormat="1" ht="15.95" customHeight="1">
      <c r="A71" s="459"/>
      <c r="B71" s="460"/>
      <c r="C71" s="122"/>
      <c r="D71" s="421"/>
      <c r="E71" s="422"/>
      <c r="F71" s="65"/>
      <c r="G71" s="411"/>
      <c r="H71" s="412"/>
      <c r="I71" s="462" t="s">
        <v>400</v>
      </c>
      <c r="J71" s="340">
        <v>200000</v>
      </c>
      <c r="K71" s="26" t="s">
        <v>299</v>
      </c>
      <c r="L71" s="27" t="s">
        <v>315</v>
      </c>
      <c r="M71" s="28">
        <v>16</v>
      </c>
      <c r="N71" s="28" t="s">
        <v>334</v>
      </c>
      <c r="O71" s="48" t="s">
        <v>317</v>
      </c>
      <c r="P71" s="215">
        <f t="shared" si="5"/>
        <v>3200000</v>
      </c>
      <c r="Q71" s="49" t="s">
        <v>299</v>
      </c>
      <c r="R71" s="461"/>
      <c r="S71" s="354"/>
      <c r="T71" s="354"/>
      <c r="U71" s="354"/>
      <c r="V71" s="354"/>
      <c r="W71" s="354"/>
      <c r="X71" s="354"/>
      <c r="Y71" s="354"/>
      <c r="Z71" s="354"/>
      <c r="AA71" s="354"/>
      <c r="AB71" s="354"/>
      <c r="AC71" s="354"/>
      <c r="AD71" s="354"/>
      <c r="AE71" s="461"/>
      <c r="AF71" s="461"/>
      <c r="AG71" s="461"/>
    </row>
    <row r="72" spans="1:33" s="183" customFormat="1" ht="15.95" customHeight="1">
      <c r="A72" s="192"/>
      <c r="B72" s="199"/>
      <c r="C72" s="122"/>
      <c r="D72" s="421"/>
      <c r="E72" s="422"/>
      <c r="F72" s="65"/>
      <c r="G72" s="411"/>
      <c r="H72" s="412"/>
      <c r="I72" s="44" t="s">
        <v>123</v>
      </c>
      <c r="J72" s="215">
        <v>2430000</v>
      </c>
      <c r="K72" s="45" t="s">
        <v>299</v>
      </c>
      <c r="L72" s="46" t="s">
        <v>315</v>
      </c>
      <c r="M72" s="29">
        <v>12</v>
      </c>
      <c r="N72" s="29" t="s">
        <v>313</v>
      </c>
      <c r="O72" s="30" t="s">
        <v>317</v>
      </c>
      <c r="P72" s="215">
        <f t="shared" si="5"/>
        <v>29160000</v>
      </c>
      <c r="Q72" s="32" t="s">
        <v>299</v>
      </c>
      <c r="R72" s="184"/>
      <c r="AE72" s="184"/>
      <c r="AF72" s="361"/>
      <c r="AG72" s="361"/>
    </row>
    <row r="73" spans="1:33" s="183" customFormat="1" ht="15.95" customHeight="1">
      <c r="A73" s="192"/>
      <c r="B73" s="199"/>
      <c r="C73" s="123"/>
      <c r="D73" s="426"/>
      <c r="E73" s="427"/>
      <c r="F73" s="65"/>
      <c r="G73" s="416"/>
      <c r="H73" s="417"/>
      <c r="I73" s="44" t="s">
        <v>471</v>
      </c>
      <c r="J73" s="215">
        <v>400000</v>
      </c>
      <c r="K73" s="45" t="s">
        <v>299</v>
      </c>
      <c r="L73" s="46" t="s">
        <v>315</v>
      </c>
      <c r="M73" s="29">
        <v>2</v>
      </c>
      <c r="N73" s="29" t="s">
        <v>313</v>
      </c>
      <c r="O73" s="30" t="s">
        <v>317</v>
      </c>
      <c r="P73" s="215">
        <f t="shared" si="5"/>
        <v>800000</v>
      </c>
      <c r="Q73" s="32" t="s">
        <v>299</v>
      </c>
      <c r="R73" s="184"/>
      <c r="AE73" s="184"/>
      <c r="AF73" s="361"/>
      <c r="AG73" s="361"/>
    </row>
    <row r="74" spans="1:33" s="183" customFormat="1" ht="15.95" customHeight="1">
      <c r="A74" s="192"/>
      <c r="B74" s="199"/>
      <c r="C74" s="109" t="s">
        <v>304</v>
      </c>
      <c r="D74" s="418">
        <v>1800</v>
      </c>
      <c r="E74" s="419">
        <f>+P74/1000</f>
        <v>2400</v>
      </c>
      <c r="F74" s="128">
        <v>6589</v>
      </c>
      <c r="G74" s="407">
        <f>+E74-D74</f>
        <v>600</v>
      </c>
      <c r="H74" s="420">
        <f>+G74/D74*100</f>
        <v>33.333333333333329</v>
      </c>
      <c r="I74" s="34"/>
      <c r="J74" s="198"/>
      <c r="K74" s="35"/>
      <c r="L74" s="66"/>
      <c r="M74" s="118" t="s">
        <v>336</v>
      </c>
      <c r="N74" s="118"/>
      <c r="O74" s="118"/>
      <c r="P74" s="198">
        <f>SUM(P75:P76)</f>
        <v>2400000</v>
      </c>
      <c r="Q74" s="18" t="s">
        <v>299</v>
      </c>
      <c r="R74" s="184"/>
      <c r="AE74" s="184"/>
      <c r="AF74" s="361"/>
      <c r="AG74" s="361"/>
    </row>
    <row r="75" spans="1:33" s="183" customFormat="1" ht="15.95" customHeight="1">
      <c r="A75" s="192"/>
      <c r="B75" s="199"/>
      <c r="C75" s="110"/>
      <c r="D75" s="421"/>
      <c r="E75" s="422"/>
      <c r="F75" s="130"/>
      <c r="G75" s="411">
        <f>+E75-D75</f>
        <v>0</v>
      </c>
      <c r="H75" s="423" t="e">
        <f>+G75/D75*100</f>
        <v>#DIV/0!</v>
      </c>
      <c r="I75" s="44" t="s">
        <v>164</v>
      </c>
      <c r="J75" s="215">
        <v>50000</v>
      </c>
      <c r="K75" s="45" t="s">
        <v>299</v>
      </c>
      <c r="L75" s="29" t="s">
        <v>315</v>
      </c>
      <c r="M75" s="29">
        <v>12</v>
      </c>
      <c r="N75" s="29" t="s">
        <v>314</v>
      </c>
      <c r="O75" s="30" t="s">
        <v>317</v>
      </c>
      <c r="P75" s="215">
        <f>SUM(J75*M75)</f>
        <v>600000</v>
      </c>
      <c r="Q75" s="32" t="s">
        <v>299</v>
      </c>
      <c r="R75" s="184"/>
      <c r="AE75" s="184"/>
      <c r="AF75" s="361"/>
      <c r="AG75" s="361"/>
    </row>
    <row r="76" spans="1:33" s="183" customFormat="1" ht="15.95" customHeight="1">
      <c r="A76" s="313"/>
      <c r="B76" s="314"/>
      <c r="C76" s="124"/>
      <c r="D76" s="426"/>
      <c r="E76" s="427"/>
      <c r="F76" s="129"/>
      <c r="G76" s="416">
        <f>+E76-D76</f>
        <v>0</v>
      </c>
      <c r="H76" s="428" t="e">
        <f>+G76/D76*100</f>
        <v>#DIV/0!</v>
      </c>
      <c r="I76" s="37" t="s">
        <v>51</v>
      </c>
      <c r="J76" s="212">
        <v>150000</v>
      </c>
      <c r="K76" s="39" t="s">
        <v>299</v>
      </c>
      <c r="L76" s="40" t="s">
        <v>315</v>
      </c>
      <c r="M76" s="41">
        <v>12</v>
      </c>
      <c r="N76" s="29" t="s">
        <v>314</v>
      </c>
      <c r="O76" s="42" t="s">
        <v>317</v>
      </c>
      <c r="P76" s="212">
        <f>SUM(J76*M76)</f>
        <v>1800000</v>
      </c>
      <c r="Q76" s="43" t="s">
        <v>299</v>
      </c>
      <c r="R76" s="184"/>
      <c r="AE76" s="184"/>
      <c r="AF76" s="361"/>
      <c r="AG76" s="361"/>
    </row>
    <row r="77" spans="1:33" s="183" customFormat="1" ht="20.100000000000001" customHeight="1">
      <c r="A77" s="171" t="s">
        <v>298</v>
      </c>
      <c r="B77" s="172" t="s">
        <v>311</v>
      </c>
      <c r="C77" s="173"/>
      <c r="D77" s="463">
        <f>SUM(D78:D82)</f>
        <v>17860</v>
      </c>
      <c r="E77" s="464">
        <f>SUM(E78:E82)</f>
        <v>19916</v>
      </c>
      <c r="F77" s="465">
        <f>SUM(F78:F82)</f>
        <v>215364</v>
      </c>
      <c r="G77" s="466">
        <f>+E77-D77</f>
        <v>2056</v>
      </c>
      <c r="H77" s="467">
        <f>+G77/D77*100</f>
        <v>11.511758118701009</v>
      </c>
      <c r="I77" s="44"/>
      <c r="J77" s="215"/>
      <c r="K77" s="45"/>
      <c r="L77" s="29"/>
      <c r="M77" s="29"/>
      <c r="N77" s="225"/>
      <c r="O77" s="29"/>
      <c r="P77" s="468">
        <f>SUM(P78,P80,P82)</f>
        <v>19916000</v>
      </c>
      <c r="Q77" s="182" t="s">
        <v>299</v>
      </c>
      <c r="R77" s="184"/>
      <c r="AE77" s="184"/>
      <c r="AF77" s="361"/>
      <c r="AG77" s="361"/>
    </row>
    <row r="78" spans="1:33" s="183" customFormat="1" ht="16.5" customHeight="1">
      <c r="A78" s="171" t="s">
        <v>301</v>
      </c>
      <c r="B78" s="316" t="s">
        <v>296</v>
      </c>
      <c r="C78" s="109" t="s">
        <v>296</v>
      </c>
      <c r="D78" s="418">
        <v>3916</v>
      </c>
      <c r="E78" s="419">
        <f>+P78/1000</f>
        <v>3916</v>
      </c>
      <c r="F78" s="128">
        <v>290</v>
      </c>
      <c r="G78" s="407">
        <f>+E78-D78</f>
        <v>0</v>
      </c>
      <c r="H78" s="420">
        <f>G78/D78*100</f>
        <v>0</v>
      </c>
      <c r="I78" s="469"/>
      <c r="J78" s="198"/>
      <c r="K78" s="35"/>
      <c r="L78" s="36"/>
      <c r="M78" s="66" t="s">
        <v>336</v>
      </c>
      <c r="N78" s="66"/>
      <c r="O78" s="66"/>
      <c r="P78" s="198">
        <f>SUM(P79:P79)</f>
        <v>3916000</v>
      </c>
      <c r="Q78" s="18" t="s">
        <v>299</v>
      </c>
      <c r="R78" s="184"/>
      <c r="AE78" s="184"/>
      <c r="AF78" s="361"/>
      <c r="AG78" s="361"/>
    </row>
    <row r="79" spans="1:33" s="183" customFormat="1" ht="16.5" customHeight="1">
      <c r="A79" s="192"/>
      <c r="B79" s="199"/>
      <c r="C79" s="124"/>
      <c r="D79" s="426"/>
      <c r="E79" s="427"/>
      <c r="F79" s="129"/>
      <c r="G79" s="416"/>
      <c r="H79" s="428"/>
      <c r="I79" s="470" t="s">
        <v>49</v>
      </c>
      <c r="J79" s="212">
        <v>3916000</v>
      </c>
      <c r="K79" s="39" t="s">
        <v>299</v>
      </c>
      <c r="L79" s="40" t="s">
        <v>315</v>
      </c>
      <c r="M79" s="41">
        <v>1</v>
      </c>
      <c r="N79" s="41" t="s">
        <v>313</v>
      </c>
      <c r="O79" s="42" t="s">
        <v>317</v>
      </c>
      <c r="P79" s="212">
        <f>SUM(J79*M79)</f>
        <v>3916000</v>
      </c>
      <c r="Q79" s="43" t="s">
        <v>299</v>
      </c>
      <c r="R79" s="184"/>
      <c r="AE79" s="184"/>
      <c r="AF79" s="361"/>
      <c r="AG79" s="361"/>
    </row>
    <row r="80" spans="1:33" s="183" customFormat="1" ht="16.5" customHeight="1">
      <c r="A80" s="192"/>
      <c r="B80" s="199"/>
      <c r="C80" s="405" t="s">
        <v>101</v>
      </c>
      <c r="D80" s="418">
        <v>12944</v>
      </c>
      <c r="E80" s="419">
        <f>+P80/1000</f>
        <v>15000</v>
      </c>
      <c r="F80" s="128">
        <v>80074</v>
      </c>
      <c r="G80" s="407">
        <f>+E80-D80</f>
        <v>2056</v>
      </c>
      <c r="H80" s="420">
        <f>+G80/D80*100</f>
        <v>15.883807169344871</v>
      </c>
      <c r="I80" s="471"/>
      <c r="J80" s="215"/>
      <c r="K80" s="45"/>
      <c r="L80" s="46"/>
      <c r="M80" s="29" t="s">
        <v>336</v>
      </c>
      <c r="N80" s="29"/>
      <c r="O80" s="29"/>
      <c r="P80" s="215">
        <f>SUM(P81:P81)</f>
        <v>15000000</v>
      </c>
      <c r="Q80" s="32" t="s">
        <v>299</v>
      </c>
      <c r="R80" s="135"/>
      <c r="AE80" s="184"/>
      <c r="AF80" s="361"/>
      <c r="AG80" s="361"/>
    </row>
    <row r="81" spans="1:33" s="183" customFormat="1" ht="16.5" customHeight="1">
      <c r="A81" s="192"/>
      <c r="B81" s="199"/>
      <c r="C81" s="122"/>
      <c r="D81" s="421"/>
      <c r="E81" s="422"/>
      <c r="F81" s="130"/>
      <c r="G81" s="411"/>
      <c r="H81" s="423"/>
      <c r="I81" s="440" t="s">
        <v>467</v>
      </c>
      <c r="J81" s="215">
        <v>5000000</v>
      </c>
      <c r="K81" s="45" t="s">
        <v>299</v>
      </c>
      <c r="L81" s="46" t="s">
        <v>315</v>
      </c>
      <c r="M81" s="29">
        <v>3</v>
      </c>
      <c r="N81" s="29" t="s">
        <v>313</v>
      </c>
      <c r="O81" s="30" t="s">
        <v>317</v>
      </c>
      <c r="P81" s="215">
        <f>SUM(J81*M81)</f>
        <v>15000000</v>
      </c>
      <c r="Q81" s="32" t="s">
        <v>299</v>
      </c>
      <c r="R81" s="184"/>
      <c r="AE81" s="184"/>
      <c r="AF81" s="361"/>
      <c r="AG81" s="361"/>
    </row>
    <row r="82" spans="1:33" s="183" customFormat="1" ht="16.5" customHeight="1">
      <c r="A82" s="192"/>
      <c r="B82" s="199"/>
      <c r="C82" s="121" t="s">
        <v>280</v>
      </c>
      <c r="D82" s="418">
        <v>1000</v>
      </c>
      <c r="E82" s="419">
        <f>+P82/1000</f>
        <v>1000</v>
      </c>
      <c r="F82" s="128">
        <v>135000</v>
      </c>
      <c r="G82" s="407">
        <f>+E82-D82</f>
        <v>0</v>
      </c>
      <c r="H82" s="420">
        <f>+G82/D82*100</f>
        <v>0</v>
      </c>
      <c r="I82" s="472"/>
      <c r="J82" s="198"/>
      <c r="K82" s="35"/>
      <c r="L82" s="36"/>
      <c r="M82" s="66" t="s">
        <v>336</v>
      </c>
      <c r="N82" s="66"/>
      <c r="O82" s="66"/>
      <c r="P82" s="198">
        <f>SUM(P83:P83)</f>
        <v>1000000</v>
      </c>
      <c r="Q82" s="18" t="s">
        <v>299</v>
      </c>
      <c r="R82" s="184"/>
      <c r="AE82" s="184"/>
      <c r="AF82" s="361"/>
      <c r="AG82" s="361"/>
    </row>
    <row r="83" spans="1:33" s="183" customFormat="1" ht="16.5" customHeight="1">
      <c r="A83" s="284"/>
      <c r="B83" s="199"/>
      <c r="C83" s="473"/>
      <c r="D83" s="421"/>
      <c r="E83" s="422"/>
      <c r="F83" s="130"/>
      <c r="G83" s="411"/>
      <c r="H83" s="423"/>
      <c r="I83" s="440" t="s">
        <v>150</v>
      </c>
      <c r="J83" s="215">
        <v>500000</v>
      </c>
      <c r="K83" s="45" t="s">
        <v>299</v>
      </c>
      <c r="L83" s="46" t="s">
        <v>315</v>
      </c>
      <c r="M83" s="29">
        <v>2</v>
      </c>
      <c r="N83" s="29" t="s">
        <v>313</v>
      </c>
      <c r="O83" s="30" t="s">
        <v>317</v>
      </c>
      <c r="P83" s="215">
        <f>J83*M83</f>
        <v>1000000</v>
      </c>
      <c r="Q83" s="32" t="s">
        <v>299</v>
      </c>
      <c r="R83" s="184"/>
      <c r="AE83" s="184"/>
      <c r="AF83" s="361"/>
      <c r="AG83" s="361"/>
    </row>
    <row r="84" spans="1:33" ht="20.100000000000001" customHeight="1">
      <c r="A84" s="474" t="s">
        <v>346</v>
      </c>
      <c r="B84" s="475" t="s">
        <v>311</v>
      </c>
      <c r="C84" s="476"/>
      <c r="D84" s="477">
        <f>+D85+D103+D120+D147+D164+D175+D181+D186+D215+D195+D204</f>
        <v>897936</v>
      </c>
      <c r="E84" s="477">
        <f>+E85+E103+E120+E147+E164+E175+E181+E186+E215+E195+E204</f>
        <v>714649.5189400001</v>
      </c>
      <c r="F84" s="478" t="e">
        <f>+F85+F103+F147+#REF!+#REF!+#REF!+F164+F175+F186+#REF!+F215+F195+F204+#REF!</f>
        <v>#REF!</v>
      </c>
      <c r="G84" s="479">
        <f>+E84-D84</f>
        <v>-183286.4810599999</v>
      </c>
      <c r="H84" s="480">
        <f>+G84/D84*100</f>
        <v>-20.411976027244695</v>
      </c>
      <c r="I84" s="481"/>
      <c r="J84" s="482"/>
      <c r="K84" s="483"/>
      <c r="L84" s="484"/>
      <c r="M84" s="484"/>
      <c r="N84" s="484"/>
      <c r="O84" s="484"/>
      <c r="P84" s="482">
        <f>+P85+P103+P120+P147+P164+P175+P181+P186+P195+P204+P215</f>
        <v>714649018.94000006</v>
      </c>
      <c r="Q84" s="485" t="s">
        <v>299</v>
      </c>
    </row>
    <row r="85" spans="1:33" ht="20.100000000000001" customHeight="1">
      <c r="A85" s="396"/>
      <c r="B85" s="486" t="s">
        <v>241</v>
      </c>
      <c r="C85" s="246" t="s">
        <v>322</v>
      </c>
      <c r="D85" s="487">
        <f>SUM(D86:D98,D99:D102)</f>
        <v>93820</v>
      </c>
      <c r="E85" s="487">
        <f>SUM(E86:E98,E99:E102)</f>
        <v>71670</v>
      </c>
      <c r="F85" s="488">
        <f>SUM(F86:F98)</f>
        <v>59008</v>
      </c>
      <c r="G85" s="489">
        <f>+E85-D85</f>
        <v>-22150</v>
      </c>
      <c r="H85" s="490">
        <f>+G85/D85*100</f>
        <v>-23.609038584523557</v>
      </c>
      <c r="I85" s="491"/>
      <c r="J85" s="325"/>
      <c r="K85" s="224"/>
      <c r="L85" s="225"/>
      <c r="M85" s="319" t="s">
        <v>336</v>
      </c>
      <c r="N85" s="319"/>
      <c r="O85" s="319"/>
      <c r="P85" s="325">
        <f>SUM(P86,P90,P93,P99,P101)</f>
        <v>71670000</v>
      </c>
      <c r="Q85" s="252" t="s">
        <v>299</v>
      </c>
    </row>
    <row r="86" spans="1:33" ht="15.95" customHeight="1">
      <c r="A86" s="396"/>
      <c r="B86" s="492" t="s">
        <v>74</v>
      </c>
      <c r="C86" s="453" t="s">
        <v>459</v>
      </c>
      <c r="D86" s="493">
        <v>27800</v>
      </c>
      <c r="E86" s="494">
        <f>+P86/1000</f>
        <v>16700</v>
      </c>
      <c r="F86" s="495">
        <v>896</v>
      </c>
      <c r="G86" s="496">
        <f>+E86-D86</f>
        <v>-11100</v>
      </c>
      <c r="H86" s="497">
        <f>+G86/D86*100</f>
        <v>-39.928057553956833</v>
      </c>
      <c r="I86" s="34"/>
      <c r="J86" s="23"/>
      <c r="K86" s="35"/>
      <c r="L86" s="35"/>
      <c r="M86" s="118" t="s">
        <v>336</v>
      </c>
      <c r="N86" s="118"/>
      <c r="O86" s="118"/>
      <c r="P86" s="191">
        <f>SUM(P87:P89)</f>
        <v>16700000</v>
      </c>
      <c r="Q86" s="18" t="s">
        <v>299</v>
      </c>
    </row>
    <row r="87" spans="1:33" ht="15.95" customHeight="1">
      <c r="A87" s="396"/>
      <c r="B87" s="441"/>
      <c r="C87" s="454"/>
      <c r="D87" s="498"/>
      <c r="E87" s="499"/>
      <c r="F87" s="500"/>
      <c r="G87" s="501"/>
      <c r="H87" s="502"/>
      <c r="I87" s="471" t="s">
        <v>443</v>
      </c>
      <c r="J87" s="31">
        <v>15200000</v>
      </c>
      <c r="K87" s="45" t="s">
        <v>299</v>
      </c>
      <c r="L87" s="46" t="s">
        <v>315</v>
      </c>
      <c r="M87" s="29">
        <v>1</v>
      </c>
      <c r="N87" s="29" t="s">
        <v>300</v>
      </c>
      <c r="O87" s="30" t="s">
        <v>317</v>
      </c>
      <c r="P87" s="31">
        <f>SUM(J87*M87)</f>
        <v>15200000</v>
      </c>
      <c r="Q87" s="32" t="s">
        <v>299</v>
      </c>
    </row>
    <row r="88" spans="1:33" ht="15.95" customHeight="1">
      <c r="A88" s="396"/>
      <c r="B88" s="441"/>
      <c r="C88" s="454"/>
      <c r="D88" s="498"/>
      <c r="E88" s="499"/>
      <c r="F88" s="500"/>
      <c r="G88" s="501"/>
      <c r="H88" s="502"/>
      <c r="I88" s="471" t="s">
        <v>457</v>
      </c>
      <c r="J88" s="31">
        <v>1200000</v>
      </c>
      <c r="K88" s="45" t="s">
        <v>299</v>
      </c>
      <c r="L88" s="29" t="s">
        <v>315</v>
      </c>
      <c r="M88" s="29">
        <v>1</v>
      </c>
      <c r="N88" s="29" t="s">
        <v>334</v>
      </c>
      <c r="O88" s="30" t="s">
        <v>317</v>
      </c>
      <c r="P88" s="31">
        <f>SUM(J88*M88)</f>
        <v>1200000</v>
      </c>
      <c r="Q88" s="32" t="s">
        <v>299</v>
      </c>
    </row>
    <row r="89" spans="1:33" ht="15.95" customHeight="1">
      <c r="A89" s="396"/>
      <c r="B89" s="199"/>
      <c r="C89" s="503"/>
      <c r="D89" s="504"/>
      <c r="E89" s="505"/>
      <c r="F89" s="506"/>
      <c r="G89" s="507">
        <f>+E89-D89</f>
        <v>0</v>
      </c>
      <c r="H89" s="508" t="e">
        <f>+G89/D89*100</f>
        <v>#DIV/0!</v>
      </c>
      <c r="I89" s="37" t="s">
        <v>386</v>
      </c>
      <c r="J89" s="38">
        <v>150000</v>
      </c>
      <c r="K89" s="39" t="s">
        <v>299</v>
      </c>
      <c r="L89" s="41" t="s">
        <v>315</v>
      </c>
      <c r="M89" s="41">
        <v>2</v>
      </c>
      <c r="N89" s="41" t="s">
        <v>313</v>
      </c>
      <c r="O89" s="42" t="s">
        <v>317</v>
      </c>
      <c r="P89" s="38">
        <f>SUM(J89*M89)</f>
        <v>300000</v>
      </c>
      <c r="Q89" s="43" t="s">
        <v>299</v>
      </c>
    </row>
    <row r="90" spans="1:33" ht="15.95" customHeight="1">
      <c r="A90" s="396"/>
      <c r="B90" s="199"/>
      <c r="C90" s="509" t="s">
        <v>364</v>
      </c>
      <c r="D90" s="104">
        <v>13000</v>
      </c>
      <c r="E90" s="106">
        <f>+P90/1000</f>
        <v>6000</v>
      </c>
      <c r="F90" s="128">
        <v>8000</v>
      </c>
      <c r="G90" s="112">
        <f>+E90-D90</f>
        <v>-7000</v>
      </c>
      <c r="H90" s="115">
        <f>+G90/D90*100</f>
        <v>-53.846153846153847</v>
      </c>
      <c r="I90" s="425"/>
      <c r="J90" s="23"/>
      <c r="K90" s="35"/>
      <c r="L90" s="36"/>
      <c r="M90" s="118" t="s">
        <v>336</v>
      </c>
      <c r="N90" s="118"/>
      <c r="O90" s="118"/>
      <c r="P90" s="23">
        <f>SUM(P91:P92)</f>
        <v>6000000</v>
      </c>
      <c r="Q90" s="18" t="s">
        <v>299</v>
      </c>
    </row>
    <row r="91" spans="1:33" ht="15.95" customHeight="1">
      <c r="A91" s="396"/>
      <c r="B91" s="199"/>
      <c r="C91" s="510"/>
      <c r="D91" s="105"/>
      <c r="E91" s="107"/>
      <c r="F91" s="130"/>
      <c r="G91" s="113"/>
      <c r="H91" s="116"/>
      <c r="I91" s="44" t="s">
        <v>438</v>
      </c>
      <c r="J91" s="31">
        <v>0</v>
      </c>
      <c r="K91" s="45" t="s">
        <v>299</v>
      </c>
      <c r="L91" s="29" t="s">
        <v>315</v>
      </c>
      <c r="M91" s="29">
        <v>1</v>
      </c>
      <c r="N91" s="29" t="s">
        <v>343</v>
      </c>
      <c r="O91" s="29" t="s">
        <v>317</v>
      </c>
      <c r="P91" s="31">
        <f>J91*M91</f>
        <v>0</v>
      </c>
      <c r="Q91" s="32" t="s">
        <v>299</v>
      </c>
    </row>
    <row r="92" spans="1:33" ht="15.95" customHeight="1">
      <c r="A92" s="396"/>
      <c r="B92" s="199"/>
      <c r="C92" s="511"/>
      <c r="D92" s="125"/>
      <c r="E92" s="111"/>
      <c r="F92" s="129"/>
      <c r="G92" s="119"/>
      <c r="H92" s="117"/>
      <c r="I92" s="512" t="s">
        <v>441</v>
      </c>
      <c r="J92" s="38">
        <v>6000000</v>
      </c>
      <c r="K92" s="39" t="s">
        <v>299</v>
      </c>
      <c r="L92" s="41" t="s">
        <v>315</v>
      </c>
      <c r="M92" s="41">
        <v>1</v>
      </c>
      <c r="N92" s="41" t="s">
        <v>343</v>
      </c>
      <c r="O92" s="42" t="s">
        <v>317</v>
      </c>
      <c r="P92" s="38">
        <f>SUM(J92*M92)</f>
        <v>6000000</v>
      </c>
      <c r="Q92" s="43" t="s">
        <v>299</v>
      </c>
    </row>
    <row r="93" spans="1:33" ht="15.95" customHeight="1">
      <c r="A93" s="513" t="s">
        <v>346</v>
      </c>
      <c r="B93" s="514" t="s">
        <v>241</v>
      </c>
      <c r="C93" s="121" t="s">
        <v>414</v>
      </c>
      <c r="D93" s="104">
        <v>52320</v>
      </c>
      <c r="E93" s="106">
        <f>+P93/1000</f>
        <v>48470</v>
      </c>
      <c r="F93" s="128">
        <v>50112</v>
      </c>
      <c r="G93" s="112">
        <f>+E93-D93</f>
        <v>-3850</v>
      </c>
      <c r="H93" s="115">
        <f>+G93/D93*100</f>
        <v>-7.3585626911314979</v>
      </c>
      <c r="I93" s="425"/>
      <c r="J93" s="23"/>
      <c r="K93" s="35"/>
      <c r="L93" s="36"/>
      <c r="M93" s="118" t="s">
        <v>336</v>
      </c>
      <c r="N93" s="118"/>
      <c r="O93" s="118"/>
      <c r="P93" s="23">
        <f>SUM(P94:P98)</f>
        <v>48470000</v>
      </c>
      <c r="Q93" s="18" t="s">
        <v>299</v>
      </c>
    </row>
    <row r="94" spans="1:33" ht="15.95" customHeight="1">
      <c r="A94" s="513"/>
      <c r="B94" s="514" t="s">
        <v>74</v>
      </c>
      <c r="C94" s="473"/>
      <c r="D94" s="105"/>
      <c r="E94" s="107"/>
      <c r="F94" s="130"/>
      <c r="G94" s="113">
        <f>+E94-D94</f>
        <v>0</v>
      </c>
      <c r="H94" s="116" t="e">
        <f>+G94/D94*100</f>
        <v>#DIV/0!</v>
      </c>
      <c r="I94" s="424" t="s">
        <v>460</v>
      </c>
      <c r="J94" s="31">
        <v>47040000</v>
      </c>
      <c r="K94" s="45" t="s">
        <v>299</v>
      </c>
      <c r="L94" s="46" t="s">
        <v>315</v>
      </c>
      <c r="M94" s="29">
        <v>1</v>
      </c>
      <c r="N94" s="29" t="s">
        <v>313</v>
      </c>
      <c r="O94" s="29" t="s">
        <v>317</v>
      </c>
      <c r="P94" s="31">
        <f>J94*M94</f>
        <v>47040000</v>
      </c>
      <c r="Q94" s="32" t="s">
        <v>299</v>
      </c>
    </row>
    <row r="95" spans="1:33" ht="15.95" customHeight="1">
      <c r="A95" s="396"/>
      <c r="B95" s="199"/>
      <c r="C95" s="473"/>
      <c r="D95" s="105"/>
      <c r="E95" s="107"/>
      <c r="F95" s="130"/>
      <c r="G95" s="113"/>
      <c r="H95" s="116"/>
      <c r="I95" s="424" t="s">
        <v>267</v>
      </c>
      <c r="J95" s="31">
        <v>300000</v>
      </c>
      <c r="K95" s="45" t="s">
        <v>299</v>
      </c>
      <c r="L95" s="46" t="s">
        <v>315</v>
      </c>
      <c r="M95" s="29">
        <v>0</v>
      </c>
      <c r="N95" s="29" t="s">
        <v>343</v>
      </c>
      <c r="O95" s="29" t="s">
        <v>317</v>
      </c>
      <c r="P95" s="31">
        <f>J95*M95</f>
        <v>0</v>
      </c>
      <c r="Q95" s="32" t="s">
        <v>299</v>
      </c>
    </row>
    <row r="96" spans="1:33" ht="15.95" customHeight="1">
      <c r="A96" s="396"/>
      <c r="B96" s="199"/>
      <c r="C96" s="473"/>
      <c r="D96" s="105"/>
      <c r="E96" s="107"/>
      <c r="F96" s="130"/>
      <c r="G96" s="113"/>
      <c r="H96" s="116"/>
      <c r="I96" s="424" t="s">
        <v>451</v>
      </c>
      <c r="J96" s="31">
        <v>600000</v>
      </c>
      <c r="K96" s="45" t="s">
        <v>299</v>
      </c>
      <c r="L96" s="46" t="s">
        <v>315</v>
      </c>
      <c r="M96" s="29">
        <v>1</v>
      </c>
      <c r="N96" s="29" t="s">
        <v>313</v>
      </c>
      <c r="O96" s="29" t="s">
        <v>317</v>
      </c>
      <c r="P96" s="31">
        <f>J96*M96</f>
        <v>600000</v>
      </c>
      <c r="Q96" s="32" t="s">
        <v>299</v>
      </c>
    </row>
    <row r="97" spans="1:18" ht="15.95" customHeight="1">
      <c r="A97" s="396"/>
      <c r="B97" s="199"/>
      <c r="C97" s="473"/>
      <c r="D97" s="105"/>
      <c r="E97" s="107"/>
      <c r="F97" s="130"/>
      <c r="G97" s="113"/>
      <c r="H97" s="116"/>
      <c r="I97" s="424" t="s">
        <v>442</v>
      </c>
      <c r="J97" s="31">
        <v>830000</v>
      </c>
      <c r="K97" s="45" t="s">
        <v>299</v>
      </c>
      <c r="L97" s="46" t="s">
        <v>315</v>
      </c>
      <c r="M97" s="29">
        <v>1</v>
      </c>
      <c r="N97" s="29" t="s">
        <v>300</v>
      </c>
      <c r="O97" s="29" t="s">
        <v>317</v>
      </c>
      <c r="P97" s="31">
        <f>J97*M97</f>
        <v>830000</v>
      </c>
      <c r="Q97" s="32" t="s">
        <v>299</v>
      </c>
    </row>
    <row r="98" spans="1:18" ht="15.95" customHeight="1">
      <c r="A98" s="396"/>
      <c r="B98" s="199"/>
      <c r="C98" s="515"/>
      <c r="D98" s="125"/>
      <c r="E98" s="111"/>
      <c r="F98" s="129"/>
      <c r="G98" s="119">
        <f>+E98-D98</f>
        <v>0</v>
      </c>
      <c r="H98" s="117" t="e">
        <f>+G98/D98*100</f>
        <v>#DIV/0!</v>
      </c>
      <c r="I98" s="437" t="s">
        <v>452</v>
      </c>
      <c r="J98" s="38">
        <v>0</v>
      </c>
      <c r="K98" s="39" t="s">
        <v>299</v>
      </c>
      <c r="L98" s="40" t="s">
        <v>328</v>
      </c>
      <c r="M98" s="41">
        <v>1</v>
      </c>
      <c r="N98" s="41" t="s">
        <v>313</v>
      </c>
      <c r="O98" s="42" t="s">
        <v>317</v>
      </c>
      <c r="P98" s="38">
        <f>SUM(J98*M98)</f>
        <v>0</v>
      </c>
      <c r="Q98" s="43" t="s">
        <v>299</v>
      </c>
    </row>
    <row r="99" spans="1:18" ht="15.95" customHeight="1">
      <c r="A99" s="513"/>
      <c r="B99" s="441"/>
      <c r="C99" s="121" t="s">
        <v>369</v>
      </c>
      <c r="D99" s="104">
        <v>500</v>
      </c>
      <c r="E99" s="106">
        <f>P99/1000</f>
        <v>500</v>
      </c>
      <c r="F99" s="64"/>
      <c r="G99" s="112">
        <f>E99-D99</f>
        <v>0</v>
      </c>
      <c r="H99" s="115">
        <f>G99/D99*100</f>
        <v>0</v>
      </c>
      <c r="I99" s="462"/>
      <c r="J99" s="25"/>
      <c r="K99" s="26"/>
      <c r="L99" s="27"/>
      <c r="M99" s="120" t="s">
        <v>336</v>
      </c>
      <c r="N99" s="120"/>
      <c r="O99" s="120"/>
      <c r="P99" s="25">
        <f>SUM(P100:P100)</f>
        <v>500000</v>
      </c>
      <c r="Q99" s="49" t="s">
        <v>299</v>
      </c>
    </row>
    <row r="100" spans="1:18" ht="15.95" customHeight="1">
      <c r="A100" s="513"/>
      <c r="B100" s="263"/>
      <c r="C100" s="122"/>
      <c r="D100" s="105"/>
      <c r="E100" s="107"/>
      <c r="F100" s="64"/>
      <c r="G100" s="113"/>
      <c r="H100" s="116"/>
      <c r="I100" s="24" t="s">
        <v>412</v>
      </c>
      <c r="J100" s="31">
        <v>100000</v>
      </c>
      <c r="K100" s="45" t="s">
        <v>299</v>
      </c>
      <c r="L100" s="46" t="s">
        <v>315</v>
      </c>
      <c r="M100" s="29">
        <v>5</v>
      </c>
      <c r="N100" s="29" t="s">
        <v>313</v>
      </c>
      <c r="O100" s="29" t="s">
        <v>317</v>
      </c>
      <c r="P100" s="31">
        <f>J100*M100</f>
        <v>500000</v>
      </c>
      <c r="Q100" s="32" t="s">
        <v>299</v>
      </c>
    </row>
    <row r="101" spans="1:18" ht="15.95" customHeight="1">
      <c r="A101" s="396"/>
      <c r="B101" s="199"/>
      <c r="C101" s="405" t="s">
        <v>166</v>
      </c>
      <c r="D101" s="104">
        <v>200</v>
      </c>
      <c r="E101" s="106">
        <f>P101/1000</f>
        <v>0</v>
      </c>
      <c r="F101" s="64"/>
      <c r="G101" s="112">
        <f>E101-D101</f>
        <v>-200</v>
      </c>
      <c r="H101" s="516">
        <f>G101/D101*100</f>
        <v>-100</v>
      </c>
      <c r="I101" s="34"/>
      <c r="J101" s="198"/>
      <c r="K101" s="35"/>
      <c r="L101" s="36"/>
      <c r="M101" s="118" t="s">
        <v>336</v>
      </c>
      <c r="N101" s="118"/>
      <c r="O101" s="118"/>
      <c r="P101" s="198">
        <f>SUM(P102:P102)</f>
        <v>0</v>
      </c>
      <c r="Q101" s="18" t="s">
        <v>299</v>
      </c>
    </row>
    <row r="102" spans="1:18" ht="15.95" customHeight="1">
      <c r="A102" s="396"/>
      <c r="B102" s="314"/>
      <c r="C102" s="123"/>
      <c r="D102" s="125"/>
      <c r="E102" s="111"/>
      <c r="F102" s="64"/>
      <c r="G102" s="119"/>
      <c r="H102" s="516"/>
      <c r="I102" s="470" t="s">
        <v>166</v>
      </c>
      <c r="J102" s="38">
        <v>0</v>
      </c>
      <c r="K102" s="39" t="s">
        <v>299</v>
      </c>
      <c r="L102" s="40" t="s">
        <v>315</v>
      </c>
      <c r="M102" s="41">
        <v>4</v>
      </c>
      <c r="N102" s="41" t="s">
        <v>313</v>
      </c>
      <c r="O102" s="41" t="s">
        <v>317</v>
      </c>
      <c r="P102" s="38">
        <f>SUM(J102*M102)</f>
        <v>0</v>
      </c>
      <c r="Q102" s="43" t="s">
        <v>299</v>
      </c>
    </row>
    <row r="103" spans="1:18" ht="20.100000000000001" customHeight="1">
      <c r="A103" s="513"/>
      <c r="B103" s="185" t="s">
        <v>240</v>
      </c>
      <c r="C103" s="517" t="s">
        <v>78</v>
      </c>
      <c r="D103" s="518">
        <f>SUM(D104:D118)</f>
        <v>108100</v>
      </c>
      <c r="E103" s="519">
        <f>P103/1000</f>
        <v>108000</v>
      </c>
      <c r="F103" s="520">
        <f>SUM(F104:F121)</f>
        <v>161152</v>
      </c>
      <c r="G103" s="521">
        <f>+E103-D103</f>
        <v>-100</v>
      </c>
      <c r="H103" s="490">
        <f>+G103/D103*100</f>
        <v>-9.2506938020351537E-2</v>
      </c>
      <c r="I103" s="522"/>
      <c r="J103" s="325"/>
      <c r="K103" s="224"/>
      <c r="L103" s="224"/>
      <c r="M103" s="319"/>
      <c r="N103" s="319"/>
      <c r="O103" s="319"/>
      <c r="P103" s="251">
        <f>SUM(P104,P107,P110,P114,P117)</f>
        <v>108000000</v>
      </c>
      <c r="Q103" s="252" t="s">
        <v>299</v>
      </c>
    </row>
    <row r="104" spans="1:18" ht="15.75" customHeight="1">
      <c r="A104" s="396"/>
      <c r="B104" s="263"/>
      <c r="C104" s="405" t="s">
        <v>202</v>
      </c>
      <c r="D104" s="104">
        <v>31220</v>
      </c>
      <c r="E104" s="106">
        <f>+P104/1000</f>
        <v>31200</v>
      </c>
      <c r="F104" s="128">
        <v>96000</v>
      </c>
      <c r="G104" s="112">
        <f>+E104-D104</f>
        <v>-20</v>
      </c>
      <c r="H104" s="115">
        <f>+G104/D104*100</f>
        <v>-6.4061499039077513E-2</v>
      </c>
      <c r="I104" s="34"/>
      <c r="J104" s="23"/>
      <c r="K104" s="35"/>
      <c r="L104" s="36"/>
      <c r="M104" s="118" t="s">
        <v>336</v>
      </c>
      <c r="N104" s="118"/>
      <c r="O104" s="118"/>
      <c r="P104" s="191">
        <f>SUM(P105:P106)</f>
        <v>31200000</v>
      </c>
      <c r="Q104" s="18" t="s">
        <v>299</v>
      </c>
    </row>
    <row r="105" spans="1:18" ht="15.75" customHeight="1">
      <c r="A105" s="396"/>
      <c r="B105" s="199"/>
      <c r="C105" s="122"/>
      <c r="D105" s="105"/>
      <c r="E105" s="107"/>
      <c r="F105" s="130"/>
      <c r="G105" s="113"/>
      <c r="H105" s="116"/>
      <c r="I105" s="44" t="s">
        <v>258</v>
      </c>
      <c r="J105" s="31">
        <v>10000</v>
      </c>
      <c r="K105" s="45" t="s">
        <v>299</v>
      </c>
      <c r="L105" s="46" t="s">
        <v>315</v>
      </c>
      <c r="M105" s="29">
        <v>0</v>
      </c>
      <c r="N105" s="29" t="s">
        <v>313</v>
      </c>
      <c r="O105" s="29" t="s">
        <v>317</v>
      </c>
      <c r="P105" s="231">
        <v>0</v>
      </c>
      <c r="Q105" s="32" t="s">
        <v>299</v>
      </c>
    </row>
    <row r="106" spans="1:18" ht="15.75" customHeight="1">
      <c r="A106" s="396"/>
      <c r="B106" s="199"/>
      <c r="C106" s="123"/>
      <c r="D106" s="125"/>
      <c r="E106" s="111"/>
      <c r="F106" s="129"/>
      <c r="G106" s="119"/>
      <c r="H106" s="117"/>
      <c r="I106" s="523" t="s">
        <v>115</v>
      </c>
      <c r="J106" s="238">
        <v>7800000</v>
      </c>
      <c r="K106" s="524" t="s">
        <v>299</v>
      </c>
      <c r="L106" s="240" t="s">
        <v>315</v>
      </c>
      <c r="M106" s="239">
        <v>4</v>
      </c>
      <c r="N106" s="239" t="s">
        <v>313</v>
      </c>
      <c r="O106" s="241" t="s">
        <v>317</v>
      </c>
      <c r="P106" s="238">
        <f>SUM(J106*M106)</f>
        <v>31200000</v>
      </c>
      <c r="Q106" s="242" t="s">
        <v>299</v>
      </c>
      <c r="R106" s="135" t="s">
        <v>434</v>
      </c>
    </row>
    <row r="107" spans="1:18" ht="15.75" customHeight="1">
      <c r="A107" s="396"/>
      <c r="B107" s="199"/>
      <c r="C107" s="525" t="s">
        <v>57</v>
      </c>
      <c r="D107" s="103">
        <v>16820</v>
      </c>
      <c r="E107" s="108">
        <f>+P107/1000</f>
        <v>16800</v>
      </c>
      <c r="F107" s="102">
        <v>11052</v>
      </c>
      <c r="G107" s="114">
        <f>+E107-D107</f>
        <v>-20</v>
      </c>
      <c r="H107" s="516">
        <f>+G107/D107*100</f>
        <v>-0.11890606420927466</v>
      </c>
      <c r="I107" s="425"/>
      <c r="J107" s="23"/>
      <c r="K107" s="35"/>
      <c r="L107" s="36"/>
      <c r="M107" s="118" t="s">
        <v>336</v>
      </c>
      <c r="N107" s="118"/>
      <c r="O107" s="118"/>
      <c r="P107" s="23">
        <f>SUM(P108:P109)</f>
        <v>16800000</v>
      </c>
      <c r="Q107" s="18" t="s">
        <v>299</v>
      </c>
    </row>
    <row r="108" spans="1:18" ht="15.75" customHeight="1">
      <c r="A108" s="396"/>
      <c r="B108" s="199"/>
      <c r="C108" s="525"/>
      <c r="D108" s="103"/>
      <c r="E108" s="108"/>
      <c r="F108" s="102"/>
      <c r="G108" s="114">
        <f>+E108-D108</f>
        <v>0</v>
      </c>
      <c r="H108" s="516" t="e">
        <f>+G108/D108*100</f>
        <v>#DIV/0!</v>
      </c>
      <c r="I108" s="424" t="s">
        <v>258</v>
      </c>
      <c r="J108" s="31">
        <v>10000</v>
      </c>
      <c r="K108" s="45" t="s">
        <v>299</v>
      </c>
      <c r="L108" s="46" t="s">
        <v>328</v>
      </c>
      <c r="M108" s="29">
        <v>0</v>
      </c>
      <c r="N108" s="29" t="s">
        <v>313</v>
      </c>
      <c r="O108" s="29" t="s">
        <v>317</v>
      </c>
      <c r="P108" s="31">
        <f>SUM(J108*M108)</f>
        <v>0</v>
      </c>
      <c r="Q108" s="32" t="s">
        <v>299</v>
      </c>
    </row>
    <row r="109" spans="1:18" ht="15.75" customHeight="1">
      <c r="A109" s="396"/>
      <c r="B109" s="199"/>
      <c r="C109" s="525"/>
      <c r="D109" s="103"/>
      <c r="E109" s="108"/>
      <c r="F109" s="102"/>
      <c r="G109" s="114"/>
      <c r="H109" s="516"/>
      <c r="I109" s="424" t="s">
        <v>411</v>
      </c>
      <c r="J109" s="31">
        <v>1400000</v>
      </c>
      <c r="K109" s="45" t="s">
        <v>299</v>
      </c>
      <c r="L109" s="46" t="s">
        <v>315</v>
      </c>
      <c r="M109" s="29">
        <v>12</v>
      </c>
      <c r="N109" s="29" t="s">
        <v>313</v>
      </c>
      <c r="O109" s="29" t="s">
        <v>317</v>
      </c>
      <c r="P109" s="31">
        <f>SUM(J109*M109)</f>
        <v>16800000</v>
      </c>
      <c r="Q109" s="32" t="s">
        <v>299</v>
      </c>
      <c r="R109" s="382" t="s">
        <v>0</v>
      </c>
    </row>
    <row r="110" spans="1:18" ht="15.95" customHeight="1">
      <c r="A110" s="513"/>
      <c r="B110" s="263"/>
      <c r="C110" s="405" t="s">
        <v>97</v>
      </c>
      <c r="D110" s="104">
        <v>24020</v>
      </c>
      <c r="E110" s="106">
        <f>+P110/1000</f>
        <v>24000</v>
      </c>
      <c r="F110" s="102">
        <v>20000</v>
      </c>
      <c r="G110" s="112">
        <f>+E110-D110</f>
        <v>-20</v>
      </c>
      <c r="H110" s="131">
        <f>+G110/D110*100</f>
        <v>-8.3263946711074108E-2</v>
      </c>
      <c r="I110" s="425"/>
      <c r="J110" s="23"/>
      <c r="K110" s="35"/>
      <c r="L110" s="36"/>
      <c r="M110" s="118" t="s">
        <v>336</v>
      </c>
      <c r="N110" s="118"/>
      <c r="O110" s="118"/>
      <c r="P110" s="23">
        <f>SUM(P111:P113)</f>
        <v>24000000</v>
      </c>
      <c r="Q110" s="18" t="s">
        <v>299</v>
      </c>
    </row>
    <row r="111" spans="1:18" ht="15.95" customHeight="1">
      <c r="A111" s="396"/>
      <c r="B111" s="263"/>
      <c r="C111" s="122"/>
      <c r="D111" s="105"/>
      <c r="E111" s="107"/>
      <c r="F111" s="102"/>
      <c r="G111" s="113"/>
      <c r="H111" s="526"/>
      <c r="I111" s="424" t="s">
        <v>142</v>
      </c>
      <c r="J111" s="31">
        <v>10000</v>
      </c>
      <c r="K111" s="45" t="s">
        <v>299</v>
      </c>
      <c r="L111" s="46" t="s">
        <v>315</v>
      </c>
      <c r="M111" s="29">
        <v>0</v>
      </c>
      <c r="N111" s="29" t="s">
        <v>313</v>
      </c>
      <c r="O111" s="30" t="s">
        <v>317</v>
      </c>
      <c r="P111" s="31">
        <f>SUM(J111*M111)</f>
        <v>0</v>
      </c>
      <c r="Q111" s="32" t="s">
        <v>299</v>
      </c>
    </row>
    <row r="112" spans="1:18" ht="15.95" customHeight="1">
      <c r="A112" s="396"/>
      <c r="B112" s="527"/>
      <c r="C112" s="122"/>
      <c r="D112" s="105"/>
      <c r="E112" s="107"/>
      <c r="F112" s="102"/>
      <c r="G112" s="113"/>
      <c r="H112" s="526"/>
      <c r="I112" s="424" t="s">
        <v>91</v>
      </c>
      <c r="J112" s="31">
        <v>4500000</v>
      </c>
      <c r="K112" s="45" t="s">
        <v>299</v>
      </c>
      <c r="L112" s="46" t="s">
        <v>315</v>
      </c>
      <c r="M112" s="29">
        <v>2</v>
      </c>
      <c r="N112" s="29" t="s">
        <v>313</v>
      </c>
      <c r="O112" s="30" t="s">
        <v>317</v>
      </c>
      <c r="P112" s="31">
        <f>SUM(J112*M112)</f>
        <v>9000000</v>
      </c>
      <c r="Q112" s="32" t="s">
        <v>299</v>
      </c>
    </row>
    <row r="113" spans="1:18" ht="15.95" customHeight="1">
      <c r="A113" s="396"/>
      <c r="B113" s="527"/>
      <c r="C113" s="123"/>
      <c r="D113" s="125"/>
      <c r="E113" s="111"/>
      <c r="F113" s="63"/>
      <c r="G113" s="119"/>
      <c r="H113" s="132"/>
      <c r="I113" s="424" t="s">
        <v>72</v>
      </c>
      <c r="J113" s="31">
        <v>7500000</v>
      </c>
      <c r="K113" s="45" t="s">
        <v>299</v>
      </c>
      <c r="L113" s="46" t="s">
        <v>315</v>
      </c>
      <c r="M113" s="29">
        <v>2</v>
      </c>
      <c r="N113" s="29" t="s">
        <v>313</v>
      </c>
      <c r="O113" s="30" t="s">
        <v>317</v>
      </c>
      <c r="P113" s="31">
        <f>SUM(J113*M113)</f>
        <v>15000000</v>
      </c>
      <c r="Q113" s="32" t="s">
        <v>299</v>
      </c>
    </row>
    <row r="114" spans="1:18" ht="15.95" customHeight="1">
      <c r="A114" s="396"/>
      <c r="B114" s="527"/>
      <c r="C114" s="405" t="s">
        <v>88</v>
      </c>
      <c r="D114" s="104">
        <v>24020</v>
      </c>
      <c r="E114" s="106">
        <f>+P114/1000</f>
        <v>24000</v>
      </c>
      <c r="F114" s="63"/>
      <c r="G114" s="112">
        <f>+E114-D114</f>
        <v>-20</v>
      </c>
      <c r="H114" s="529">
        <f>+G114/D114*100</f>
        <v>-8.3263946711074108E-2</v>
      </c>
      <c r="I114" s="425"/>
      <c r="J114" s="23"/>
      <c r="K114" s="35"/>
      <c r="L114" s="36"/>
      <c r="M114" s="118" t="s">
        <v>336</v>
      </c>
      <c r="N114" s="118"/>
      <c r="O114" s="118"/>
      <c r="P114" s="23">
        <f>SUM(P115:P116)</f>
        <v>24000000</v>
      </c>
      <c r="Q114" s="18" t="s">
        <v>299</v>
      </c>
    </row>
    <row r="115" spans="1:18" ht="15.95" customHeight="1">
      <c r="A115" s="396"/>
      <c r="B115" s="199"/>
      <c r="C115" s="122"/>
      <c r="D115" s="105"/>
      <c r="E115" s="107"/>
      <c r="F115" s="530">
        <v>16000</v>
      </c>
      <c r="G115" s="113"/>
      <c r="H115" s="531"/>
      <c r="I115" s="424" t="s">
        <v>142</v>
      </c>
      <c r="J115" s="31">
        <v>10000</v>
      </c>
      <c r="K115" s="45" t="s">
        <v>299</v>
      </c>
      <c r="L115" s="46" t="s">
        <v>315</v>
      </c>
      <c r="M115" s="29">
        <v>0</v>
      </c>
      <c r="N115" s="29" t="s">
        <v>313</v>
      </c>
      <c r="O115" s="30" t="s">
        <v>317</v>
      </c>
      <c r="P115" s="31">
        <f>SUM(J115*M115)</f>
        <v>0</v>
      </c>
      <c r="Q115" s="32" t="s">
        <v>299</v>
      </c>
    </row>
    <row r="116" spans="1:18" ht="15.95" customHeight="1">
      <c r="A116" s="396"/>
      <c r="B116" s="199"/>
      <c r="C116" s="123"/>
      <c r="D116" s="125"/>
      <c r="E116" s="111"/>
      <c r="F116" s="520"/>
      <c r="G116" s="119"/>
      <c r="H116" s="532"/>
      <c r="I116" s="470" t="s">
        <v>91</v>
      </c>
      <c r="J116" s="533">
        <v>6000000</v>
      </c>
      <c r="K116" s="39" t="s">
        <v>299</v>
      </c>
      <c r="L116" s="40" t="s">
        <v>315</v>
      </c>
      <c r="M116" s="41">
        <v>4</v>
      </c>
      <c r="N116" s="41" t="s">
        <v>313</v>
      </c>
      <c r="O116" s="42" t="s">
        <v>317</v>
      </c>
      <c r="P116" s="533">
        <f>SUM(J116*M116)</f>
        <v>24000000</v>
      </c>
      <c r="Q116" s="43" t="s">
        <v>299</v>
      </c>
      <c r="R116" s="528" t="s">
        <v>439</v>
      </c>
    </row>
    <row r="117" spans="1:18" ht="15.95" customHeight="1">
      <c r="A117" s="396"/>
      <c r="B117" s="199"/>
      <c r="C117" s="109" t="s">
        <v>107</v>
      </c>
      <c r="D117" s="104">
        <v>12020</v>
      </c>
      <c r="E117" s="106">
        <f>+P117/1000</f>
        <v>12000</v>
      </c>
      <c r="F117" s="128">
        <v>18100</v>
      </c>
      <c r="G117" s="112">
        <f>+E117-D117</f>
        <v>-20</v>
      </c>
      <c r="H117" s="115">
        <f>+G117/D117*100</f>
        <v>-0.16638935108153077</v>
      </c>
      <c r="I117" s="34"/>
      <c r="J117" s="23"/>
      <c r="K117" s="35"/>
      <c r="L117" s="36"/>
      <c r="M117" s="118" t="s">
        <v>336</v>
      </c>
      <c r="N117" s="118"/>
      <c r="O117" s="118"/>
      <c r="P117" s="23">
        <f>SUM(P118:P119)</f>
        <v>12000000</v>
      </c>
      <c r="Q117" s="18" t="s">
        <v>299</v>
      </c>
    </row>
    <row r="118" spans="1:18" ht="15.95" customHeight="1">
      <c r="A118" s="396"/>
      <c r="B118" s="199"/>
      <c r="C118" s="110"/>
      <c r="D118" s="105"/>
      <c r="E118" s="107"/>
      <c r="F118" s="130"/>
      <c r="G118" s="113">
        <f>+E118-D118</f>
        <v>0</v>
      </c>
      <c r="H118" s="116" t="e">
        <f>+G118/D118*100</f>
        <v>#DIV/0!</v>
      </c>
      <c r="I118" s="44" t="s">
        <v>142</v>
      </c>
      <c r="J118" s="31">
        <v>10000</v>
      </c>
      <c r="K118" s="45" t="s">
        <v>299</v>
      </c>
      <c r="L118" s="46" t="s">
        <v>315</v>
      </c>
      <c r="M118" s="29">
        <v>0</v>
      </c>
      <c r="N118" s="29" t="s">
        <v>313</v>
      </c>
      <c r="O118" s="30" t="s">
        <v>317</v>
      </c>
      <c r="P118" s="31">
        <f>SUM(J118*M118)</f>
        <v>0</v>
      </c>
      <c r="Q118" s="32" t="s">
        <v>299</v>
      </c>
    </row>
    <row r="119" spans="1:18" ht="15.95" customHeight="1">
      <c r="A119" s="396"/>
      <c r="B119" s="314"/>
      <c r="C119" s="124"/>
      <c r="D119" s="125"/>
      <c r="E119" s="111"/>
      <c r="F119" s="129"/>
      <c r="G119" s="119">
        <f>+E119-D119</f>
        <v>0</v>
      </c>
      <c r="H119" s="117" t="e">
        <f>+G119/D119*100</f>
        <v>#DIV/0!</v>
      </c>
      <c r="I119" s="37" t="s">
        <v>115</v>
      </c>
      <c r="J119" s="38">
        <v>3000000</v>
      </c>
      <c r="K119" s="39" t="s">
        <v>299</v>
      </c>
      <c r="L119" s="40" t="s">
        <v>315</v>
      </c>
      <c r="M119" s="41">
        <v>4</v>
      </c>
      <c r="N119" s="41" t="s">
        <v>313</v>
      </c>
      <c r="O119" s="42" t="s">
        <v>317</v>
      </c>
      <c r="P119" s="38">
        <f>SUM(J119*M119)</f>
        <v>12000000</v>
      </c>
      <c r="Q119" s="43" t="s">
        <v>299</v>
      </c>
      <c r="R119" s="382" t="s">
        <v>434</v>
      </c>
    </row>
    <row r="120" spans="1:18" ht="20.100000000000001" customHeight="1">
      <c r="A120" s="513" t="s">
        <v>346</v>
      </c>
      <c r="B120" s="534" t="s">
        <v>55</v>
      </c>
      <c r="C120" s="75" t="s">
        <v>322</v>
      </c>
      <c r="D120" s="70">
        <f>SUM(D121:D146)</f>
        <v>257762</v>
      </c>
      <c r="E120" s="70">
        <f>P120/1000</f>
        <v>219431.35394</v>
      </c>
      <c r="F120" s="65"/>
      <c r="G120" s="73">
        <f>E120-D120</f>
        <v>-38330.646059999999</v>
      </c>
      <c r="H120" s="535">
        <f>G120/D120*100</f>
        <v>-14.870557359114223</v>
      </c>
      <c r="I120" s="44"/>
      <c r="J120" s="31"/>
      <c r="K120" s="45"/>
      <c r="L120" s="46"/>
      <c r="M120" s="319"/>
      <c r="N120" s="319"/>
      <c r="O120" s="319"/>
      <c r="P120" s="31">
        <f>SUM(P121,P123,P128,P130,P135,P137,P139,P143)</f>
        <v>219431353.94</v>
      </c>
      <c r="Q120" s="43" t="s">
        <v>299</v>
      </c>
    </row>
    <row r="121" spans="1:18" ht="15.95" customHeight="1">
      <c r="A121" s="396"/>
      <c r="B121" s="514" t="s">
        <v>69</v>
      </c>
      <c r="C121" s="121" t="s">
        <v>427</v>
      </c>
      <c r="D121" s="104">
        <v>0</v>
      </c>
      <c r="E121" s="106">
        <f>+P121/1000</f>
        <v>0</v>
      </c>
      <c r="F121" s="128">
        <v>0</v>
      </c>
      <c r="G121" s="112">
        <f>+E121-D121</f>
        <v>0</v>
      </c>
      <c r="H121" s="115">
        <v>0</v>
      </c>
      <c r="I121" s="34"/>
      <c r="J121" s="23"/>
      <c r="K121" s="35"/>
      <c r="L121" s="36"/>
      <c r="M121" s="118" t="s">
        <v>336</v>
      </c>
      <c r="N121" s="118"/>
      <c r="O121" s="118"/>
      <c r="P121" s="23">
        <f>SUM(P122)</f>
        <v>0</v>
      </c>
      <c r="Q121" s="18" t="s">
        <v>299</v>
      </c>
    </row>
    <row r="122" spans="1:18" ht="15.95" customHeight="1">
      <c r="A122" s="396"/>
      <c r="B122" s="441"/>
      <c r="C122" s="122"/>
      <c r="D122" s="105"/>
      <c r="E122" s="107"/>
      <c r="F122" s="130"/>
      <c r="G122" s="113"/>
      <c r="H122" s="116"/>
      <c r="I122" s="471" t="s">
        <v>390</v>
      </c>
      <c r="J122" s="31"/>
      <c r="K122" s="45"/>
      <c r="L122" s="46"/>
      <c r="M122" s="29"/>
      <c r="N122" s="29"/>
      <c r="O122" s="30"/>
      <c r="P122" s="31">
        <v>0</v>
      </c>
      <c r="Q122" s="32" t="s">
        <v>299</v>
      </c>
      <c r="R122" s="536" t="s">
        <v>384</v>
      </c>
    </row>
    <row r="123" spans="1:18" ht="15.95" customHeight="1">
      <c r="A123" s="396"/>
      <c r="B123" s="537"/>
      <c r="C123" s="405" t="s">
        <v>211</v>
      </c>
      <c r="D123" s="104">
        <v>18500</v>
      </c>
      <c r="E123" s="106">
        <f>P123/1000</f>
        <v>12800</v>
      </c>
      <c r="F123" s="63"/>
      <c r="G123" s="112">
        <f>E123-D123</f>
        <v>-5700</v>
      </c>
      <c r="H123" s="115">
        <f>G123/D123*100</f>
        <v>-30.810810810810814</v>
      </c>
      <c r="I123" s="34"/>
      <c r="J123" s="23"/>
      <c r="K123" s="35"/>
      <c r="L123" s="36"/>
      <c r="M123" s="118" t="s">
        <v>336</v>
      </c>
      <c r="N123" s="118"/>
      <c r="O123" s="118"/>
      <c r="P123" s="23">
        <f>SUM(P124:P127)</f>
        <v>12800000</v>
      </c>
      <c r="Q123" s="18" t="s">
        <v>299</v>
      </c>
    </row>
    <row r="124" spans="1:18" ht="15.95" customHeight="1">
      <c r="A124" s="396"/>
      <c r="B124" s="537"/>
      <c r="C124" s="122"/>
      <c r="D124" s="105"/>
      <c r="E124" s="107"/>
      <c r="F124" s="65"/>
      <c r="G124" s="113"/>
      <c r="H124" s="116"/>
      <c r="I124" s="44" t="s">
        <v>347</v>
      </c>
      <c r="J124" s="31">
        <v>0</v>
      </c>
      <c r="K124" s="45" t="s">
        <v>299</v>
      </c>
      <c r="L124" s="46" t="s">
        <v>315</v>
      </c>
      <c r="M124" s="29">
        <v>1</v>
      </c>
      <c r="N124" s="29" t="s">
        <v>313</v>
      </c>
      <c r="O124" s="30" t="s">
        <v>317</v>
      </c>
      <c r="P124" s="31">
        <f>SUM(J124*M124)</f>
        <v>0</v>
      </c>
      <c r="Q124" s="32" t="s">
        <v>299</v>
      </c>
    </row>
    <row r="125" spans="1:18" ht="15.95" customHeight="1">
      <c r="A125" s="396"/>
      <c r="B125" s="537"/>
      <c r="C125" s="122"/>
      <c r="D125" s="105"/>
      <c r="E125" s="107"/>
      <c r="F125" s="65"/>
      <c r="G125" s="113"/>
      <c r="H125" s="116"/>
      <c r="I125" s="44" t="s">
        <v>404</v>
      </c>
      <c r="J125" s="31">
        <v>12800000</v>
      </c>
      <c r="K125" s="45" t="s">
        <v>299</v>
      </c>
      <c r="L125" s="46" t="s">
        <v>315</v>
      </c>
      <c r="M125" s="29">
        <v>1</v>
      </c>
      <c r="N125" s="29" t="s">
        <v>313</v>
      </c>
      <c r="O125" s="30" t="s">
        <v>317</v>
      </c>
      <c r="P125" s="31">
        <f t="shared" ref="P125:P127" si="6">SUM(J125*M125)</f>
        <v>12800000</v>
      </c>
      <c r="Q125" s="32" t="s">
        <v>299</v>
      </c>
    </row>
    <row r="126" spans="1:18" ht="15.95" customHeight="1">
      <c r="A126" s="396"/>
      <c r="B126" s="537"/>
      <c r="C126" s="122"/>
      <c r="D126" s="105"/>
      <c r="E126" s="107"/>
      <c r="F126" s="65"/>
      <c r="G126" s="113"/>
      <c r="H126" s="116"/>
      <c r="I126" s="44" t="s">
        <v>212</v>
      </c>
      <c r="J126" s="31">
        <v>0</v>
      </c>
      <c r="K126" s="45" t="s">
        <v>299</v>
      </c>
      <c r="L126" s="46" t="s">
        <v>315</v>
      </c>
      <c r="M126" s="29">
        <v>1</v>
      </c>
      <c r="N126" s="29" t="s">
        <v>313</v>
      </c>
      <c r="O126" s="30" t="s">
        <v>317</v>
      </c>
      <c r="P126" s="31">
        <f t="shared" si="6"/>
        <v>0</v>
      </c>
      <c r="Q126" s="32" t="s">
        <v>299</v>
      </c>
    </row>
    <row r="127" spans="1:18" ht="15.95" customHeight="1">
      <c r="A127" s="396"/>
      <c r="B127" s="537"/>
      <c r="C127" s="123"/>
      <c r="D127" s="125"/>
      <c r="E127" s="111"/>
      <c r="F127" s="64"/>
      <c r="G127" s="119"/>
      <c r="H127" s="116"/>
      <c r="I127" s="37" t="s">
        <v>433</v>
      </c>
      <c r="J127" s="38">
        <v>0</v>
      </c>
      <c r="K127" s="39" t="s">
        <v>299</v>
      </c>
      <c r="L127" s="40" t="s">
        <v>315</v>
      </c>
      <c r="M127" s="41">
        <v>2</v>
      </c>
      <c r="N127" s="41" t="s">
        <v>313</v>
      </c>
      <c r="O127" s="42" t="s">
        <v>317</v>
      </c>
      <c r="P127" s="38">
        <f t="shared" si="6"/>
        <v>0</v>
      </c>
      <c r="Q127" s="43" t="s">
        <v>299</v>
      </c>
    </row>
    <row r="128" spans="1:18" ht="15.95" customHeight="1">
      <c r="A128" s="396"/>
      <c r="B128" s="199"/>
      <c r="C128" s="405" t="s">
        <v>145</v>
      </c>
      <c r="D128" s="104">
        <v>100</v>
      </c>
      <c r="E128" s="106">
        <f>+P128/1000</f>
        <v>100</v>
      </c>
      <c r="F128" s="128">
        <v>0</v>
      </c>
      <c r="G128" s="112">
        <f>+E128-D128</f>
        <v>0</v>
      </c>
      <c r="H128" s="131">
        <f>+G128/D128*100</f>
        <v>0</v>
      </c>
      <c r="I128" s="34"/>
      <c r="J128" s="23"/>
      <c r="K128" s="35"/>
      <c r="L128" s="36"/>
      <c r="M128" s="118" t="s">
        <v>336</v>
      </c>
      <c r="N128" s="118"/>
      <c r="O128" s="118"/>
      <c r="P128" s="23">
        <f>SUM(P129)</f>
        <v>100000</v>
      </c>
      <c r="Q128" s="18" t="s">
        <v>299</v>
      </c>
    </row>
    <row r="129" spans="1:18" ht="15.95" customHeight="1">
      <c r="A129" s="396"/>
      <c r="B129" s="199"/>
      <c r="C129" s="123"/>
      <c r="D129" s="125"/>
      <c r="E129" s="111"/>
      <c r="F129" s="129"/>
      <c r="G129" s="119"/>
      <c r="H129" s="132"/>
      <c r="I129" s="37" t="s">
        <v>253</v>
      </c>
      <c r="J129" s="38">
        <v>10000</v>
      </c>
      <c r="K129" s="39" t="s">
        <v>299</v>
      </c>
      <c r="L129" s="40" t="s">
        <v>315</v>
      </c>
      <c r="M129" s="41">
        <v>10</v>
      </c>
      <c r="N129" s="41" t="s">
        <v>313</v>
      </c>
      <c r="O129" s="42" t="s">
        <v>317</v>
      </c>
      <c r="P129" s="38">
        <f>SUM(J129*M129)</f>
        <v>100000</v>
      </c>
      <c r="Q129" s="43" t="s">
        <v>299</v>
      </c>
    </row>
    <row r="130" spans="1:18" ht="15.95" customHeight="1">
      <c r="A130" s="396"/>
      <c r="B130" s="537"/>
      <c r="C130" s="121" t="s">
        <v>416</v>
      </c>
      <c r="D130" s="104">
        <v>22562</v>
      </c>
      <c r="E130" s="106">
        <f>P130/1000</f>
        <v>22561.999940000002</v>
      </c>
      <c r="F130" s="65"/>
      <c r="G130" s="112">
        <f>E130-D130</f>
        <v>-5.999999848427251E-5</v>
      </c>
      <c r="H130" s="131">
        <f>G130/D130*100</f>
        <v>-2.6593386439266249E-7</v>
      </c>
      <c r="I130" s="44"/>
      <c r="J130" s="31"/>
      <c r="K130" s="45"/>
      <c r="L130" s="46"/>
      <c r="M130" s="455" t="s">
        <v>336</v>
      </c>
      <c r="N130" s="455"/>
      <c r="O130" s="455"/>
      <c r="P130" s="31">
        <f>SUM(P131:P134)</f>
        <v>22561999.940000001</v>
      </c>
      <c r="Q130" s="32" t="s">
        <v>299</v>
      </c>
    </row>
    <row r="131" spans="1:18" ht="15.95" customHeight="1">
      <c r="A131" s="396"/>
      <c r="B131" s="537"/>
      <c r="C131" s="473"/>
      <c r="D131" s="105"/>
      <c r="E131" s="107"/>
      <c r="F131" s="65"/>
      <c r="G131" s="113"/>
      <c r="H131" s="526"/>
      <c r="I131" s="44" t="s">
        <v>221</v>
      </c>
      <c r="J131" s="31">
        <v>1129429</v>
      </c>
      <c r="K131" s="45" t="s">
        <v>299</v>
      </c>
      <c r="L131" s="46" t="s">
        <v>315</v>
      </c>
      <c r="M131" s="29">
        <v>7</v>
      </c>
      <c r="N131" s="29" t="s">
        <v>343</v>
      </c>
      <c r="O131" s="30" t="s">
        <v>317</v>
      </c>
      <c r="P131" s="31">
        <f>SUM(J131*M131)-3</f>
        <v>7906000</v>
      </c>
      <c r="Q131" s="32" t="s">
        <v>299</v>
      </c>
    </row>
    <row r="132" spans="1:18" ht="15.95" customHeight="1">
      <c r="A132" s="396"/>
      <c r="B132" s="537"/>
      <c r="C132" s="473"/>
      <c r="D132" s="105"/>
      <c r="E132" s="107"/>
      <c r="F132" s="65"/>
      <c r="G132" s="113"/>
      <c r="H132" s="526"/>
      <c r="I132" s="44" t="s">
        <v>190</v>
      </c>
      <c r="J132" s="31">
        <v>1330000</v>
      </c>
      <c r="K132" s="45" t="s">
        <v>299</v>
      </c>
      <c r="L132" s="46" t="s">
        <v>315</v>
      </c>
      <c r="M132" s="29">
        <v>7</v>
      </c>
      <c r="N132" s="29" t="s">
        <v>343</v>
      </c>
      <c r="O132" s="30" t="s">
        <v>317</v>
      </c>
      <c r="P132" s="31">
        <f>SUM(J132*M132)</f>
        <v>9310000</v>
      </c>
      <c r="Q132" s="32" t="s">
        <v>299</v>
      </c>
    </row>
    <row r="133" spans="1:18" ht="15.95" customHeight="1">
      <c r="A133" s="396"/>
      <c r="B133" s="537"/>
      <c r="C133" s="473"/>
      <c r="D133" s="105"/>
      <c r="E133" s="107"/>
      <c r="F133" s="65"/>
      <c r="G133" s="113"/>
      <c r="H133" s="526"/>
      <c r="I133" s="44" t="s">
        <v>42</v>
      </c>
      <c r="J133" s="31">
        <v>628571.42000000004</v>
      </c>
      <c r="K133" s="45" t="s">
        <v>299</v>
      </c>
      <c r="L133" s="46" t="s">
        <v>315</v>
      </c>
      <c r="M133" s="29">
        <v>7</v>
      </c>
      <c r="N133" s="29" t="s">
        <v>343</v>
      </c>
      <c r="O133" s="30" t="s">
        <v>317</v>
      </c>
      <c r="P133" s="31">
        <f>SUM(J133*M133)</f>
        <v>4399999.9400000004</v>
      </c>
      <c r="Q133" s="32" t="s">
        <v>299</v>
      </c>
    </row>
    <row r="134" spans="1:18" ht="15.95" customHeight="1">
      <c r="A134" s="396"/>
      <c r="B134" s="537"/>
      <c r="C134" s="515"/>
      <c r="D134" s="125"/>
      <c r="E134" s="111"/>
      <c r="F134" s="65"/>
      <c r="G134" s="119"/>
      <c r="H134" s="132"/>
      <c r="I134" s="44" t="s">
        <v>235</v>
      </c>
      <c r="J134" s="31">
        <v>946000</v>
      </c>
      <c r="K134" s="45" t="s">
        <v>299</v>
      </c>
      <c r="L134" s="46" t="s">
        <v>315</v>
      </c>
      <c r="M134" s="29">
        <v>1</v>
      </c>
      <c r="N134" s="29" t="s">
        <v>313</v>
      </c>
      <c r="O134" s="30" t="s">
        <v>317</v>
      </c>
      <c r="P134" s="31">
        <f>SUM(J134*M134)</f>
        <v>946000</v>
      </c>
      <c r="Q134" s="32" t="s">
        <v>299</v>
      </c>
    </row>
    <row r="135" spans="1:18" ht="15.95" customHeight="1">
      <c r="A135" s="396"/>
      <c r="B135" s="537"/>
      <c r="C135" s="121" t="s">
        <v>450</v>
      </c>
      <c r="D135" s="104">
        <v>1400</v>
      </c>
      <c r="E135" s="106">
        <v>0</v>
      </c>
      <c r="F135" s="128">
        <v>-1</v>
      </c>
      <c r="G135" s="112">
        <f>+E135-D135</f>
        <v>-1400</v>
      </c>
      <c r="H135" s="115">
        <f>+G135/D135*100</f>
        <v>-100</v>
      </c>
      <c r="I135" s="34"/>
      <c r="J135" s="23"/>
      <c r="K135" s="35"/>
      <c r="L135" s="36"/>
      <c r="M135" s="118" t="s">
        <v>336</v>
      </c>
      <c r="N135" s="118"/>
      <c r="O135" s="118"/>
      <c r="P135" s="23">
        <f>SUM(P136:P136)</f>
        <v>0</v>
      </c>
      <c r="Q135" s="18" t="s">
        <v>299</v>
      </c>
    </row>
    <row r="136" spans="1:18" ht="15.95" customHeight="1">
      <c r="A136" s="396"/>
      <c r="B136" s="537"/>
      <c r="C136" s="122"/>
      <c r="D136" s="105"/>
      <c r="E136" s="107"/>
      <c r="F136" s="130"/>
      <c r="G136" s="113"/>
      <c r="H136" s="116"/>
      <c r="I136" s="44" t="s">
        <v>399</v>
      </c>
      <c r="J136" s="31">
        <v>0</v>
      </c>
      <c r="K136" s="45" t="s">
        <v>299</v>
      </c>
      <c r="L136" s="46" t="s">
        <v>315</v>
      </c>
      <c r="M136" s="29">
        <v>1</v>
      </c>
      <c r="N136" s="29" t="s">
        <v>313</v>
      </c>
      <c r="O136" s="30" t="s">
        <v>317</v>
      </c>
      <c r="P136" s="31">
        <v>0</v>
      </c>
      <c r="Q136" s="32" t="s">
        <v>299</v>
      </c>
      <c r="R136" s="135" t="s">
        <v>401</v>
      </c>
    </row>
    <row r="137" spans="1:18" ht="15.95" customHeight="1">
      <c r="A137" s="396"/>
      <c r="B137" s="537"/>
      <c r="C137" s="126" t="s">
        <v>429</v>
      </c>
      <c r="D137" s="103">
        <v>45200</v>
      </c>
      <c r="E137" s="108">
        <f>+P137/1000</f>
        <v>26450</v>
      </c>
      <c r="F137" s="102">
        <v>0</v>
      </c>
      <c r="G137" s="114">
        <f>+E137-D137</f>
        <v>-18750</v>
      </c>
      <c r="H137" s="115">
        <f>+G137/D137*100</f>
        <v>-41.482300884955755</v>
      </c>
      <c r="I137" s="425"/>
      <c r="J137" s="23"/>
      <c r="K137" s="35"/>
      <c r="L137" s="36"/>
      <c r="M137" s="118" t="s">
        <v>336</v>
      </c>
      <c r="N137" s="118"/>
      <c r="O137" s="118"/>
      <c r="P137" s="23">
        <f>SUM(P138:P138)</f>
        <v>26450000</v>
      </c>
      <c r="Q137" s="18" t="s">
        <v>299</v>
      </c>
    </row>
    <row r="138" spans="1:18" ht="15.95" customHeight="1">
      <c r="A138" s="396"/>
      <c r="B138" s="537"/>
      <c r="C138" s="127"/>
      <c r="D138" s="103"/>
      <c r="E138" s="108"/>
      <c r="F138" s="102"/>
      <c r="G138" s="114"/>
      <c r="H138" s="116"/>
      <c r="I138" s="437" t="s">
        <v>419</v>
      </c>
      <c r="J138" s="38">
        <v>1150000</v>
      </c>
      <c r="K138" s="39" t="s">
        <v>299</v>
      </c>
      <c r="L138" s="40" t="s">
        <v>315</v>
      </c>
      <c r="M138" s="41">
        <v>23</v>
      </c>
      <c r="N138" s="41" t="s">
        <v>313</v>
      </c>
      <c r="O138" s="42" t="s">
        <v>317</v>
      </c>
      <c r="P138" s="38">
        <f>SUM(J138*M138)</f>
        <v>26450000</v>
      </c>
      <c r="Q138" s="43" t="s">
        <v>299</v>
      </c>
    </row>
    <row r="139" spans="1:18" ht="15.95" customHeight="1">
      <c r="A139" s="396"/>
      <c r="B139" s="199"/>
      <c r="C139" s="538" t="s">
        <v>415</v>
      </c>
      <c r="D139" s="106">
        <v>54000</v>
      </c>
      <c r="E139" s="106">
        <f>P139/1000</f>
        <v>39000</v>
      </c>
      <c r="F139" s="539"/>
      <c r="G139" s="540">
        <f>E139-D139</f>
        <v>-15000</v>
      </c>
      <c r="H139" s="131">
        <f>+G139/D139*100</f>
        <v>-27.777777777777779</v>
      </c>
      <c r="I139" s="541"/>
      <c r="J139" s="35"/>
      <c r="K139" s="35"/>
      <c r="L139" s="35"/>
      <c r="M139" s="118" t="s">
        <v>336</v>
      </c>
      <c r="N139" s="118"/>
      <c r="O139" s="118"/>
      <c r="P139" s="191">
        <f>SUM(P140:P142)</f>
        <v>39000000</v>
      </c>
      <c r="Q139" s="18" t="s">
        <v>299</v>
      </c>
    </row>
    <row r="140" spans="1:18" ht="15.95" customHeight="1">
      <c r="A140" s="396"/>
      <c r="B140" s="199"/>
      <c r="C140" s="542"/>
      <c r="D140" s="107"/>
      <c r="E140" s="107"/>
      <c r="F140" s="543"/>
      <c r="G140" s="544"/>
      <c r="H140" s="526"/>
      <c r="I140" s="444" t="s">
        <v>422</v>
      </c>
      <c r="J140" s="31">
        <v>5000000</v>
      </c>
      <c r="K140" s="45" t="s">
        <v>299</v>
      </c>
      <c r="L140" s="46" t="s">
        <v>315</v>
      </c>
      <c r="M140" s="29">
        <v>6</v>
      </c>
      <c r="N140" s="29" t="s">
        <v>313</v>
      </c>
      <c r="O140" s="30" t="s">
        <v>317</v>
      </c>
      <c r="P140" s="31">
        <f>SUM(J140*M140)</f>
        <v>30000000</v>
      </c>
      <c r="Q140" s="32" t="s">
        <v>299</v>
      </c>
    </row>
    <row r="141" spans="1:18" ht="15.95" customHeight="1">
      <c r="A141" s="396"/>
      <c r="B141" s="199"/>
      <c r="C141" s="542"/>
      <c r="D141" s="107"/>
      <c r="E141" s="107"/>
      <c r="F141" s="543"/>
      <c r="G141" s="544"/>
      <c r="H141" s="526"/>
      <c r="I141" s="444" t="s">
        <v>418</v>
      </c>
      <c r="J141" s="31">
        <v>4000000</v>
      </c>
      <c r="K141" s="45" t="s">
        <v>299</v>
      </c>
      <c r="L141" s="46" t="s">
        <v>315</v>
      </c>
      <c r="M141" s="29">
        <v>1</v>
      </c>
      <c r="N141" s="29" t="s">
        <v>313</v>
      </c>
      <c r="O141" s="30" t="s">
        <v>317</v>
      </c>
      <c r="P141" s="31">
        <f>SUM(J141*M141)</f>
        <v>4000000</v>
      </c>
      <c r="Q141" s="32" t="s">
        <v>299</v>
      </c>
    </row>
    <row r="142" spans="1:18" ht="15.95" customHeight="1">
      <c r="A142" s="396"/>
      <c r="B142" s="199"/>
      <c r="C142" s="545"/>
      <c r="D142" s="111"/>
      <c r="E142" s="111"/>
      <c r="F142" s="543"/>
      <c r="G142" s="546"/>
      <c r="H142" s="132"/>
      <c r="I142" s="45" t="s">
        <v>473</v>
      </c>
      <c r="J142" s="31">
        <v>2500000</v>
      </c>
      <c r="K142" s="45" t="s">
        <v>299</v>
      </c>
      <c r="L142" s="46" t="s">
        <v>315</v>
      </c>
      <c r="M142" s="29">
        <v>2</v>
      </c>
      <c r="N142" s="29" t="s">
        <v>313</v>
      </c>
      <c r="O142" s="30" t="s">
        <v>317</v>
      </c>
      <c r="P142" s="31">
        <f>SUM(J142*M142)</f>
        <v>5000000</v>
      </c>
      <c r="Q142" s="32" t="s">
        <v>299</v>
      </c>
    </row>
    <row r="143" spans="1:18" ht="15.95" customHeight="1">
      <c r="A143" s="396"/>
      <c r="B143" s="199"/>
      <c r="C143" s="405" t="s">
        <v>87</v>
      </c>
      <c r="D143" s="104">
        <v>116000</v>
      </c>
      <c r="E143" s="106">
        <f>(P143/1000)</f>
        <v>118519.35400000001</v>
      </c>
      <c r="F143" s="128">
        <v>83961</v>
      </c>
      <c r="G143" s="112">
        <f>E143-D143</f>
        <v>2519.3540000000066</v>
      </c>
      <c r="H143" s="516">
        <f>G143/D143*100</f>
        <v>2.1718568965517298</v>
      </c>
      <c r="I143" s="469"/>
      <c r="J143" s="23"/>
      <c r="K143" s="35"/>
      <c r="L143" s="36"/>
      <c r="M143" s="118" t="s">
        <v>336</v>
      </c>
      <c r="N143" s="118"/>
      <c r="O143" s="118"/>
      <c r="P143" s="23">
        <f>SUM(P144:P146)</f>
        <v>118519354</v>
      </c>
      <c r="Q143" s="18" t="s">
        <v>299</v>
      </c>
    </row>
    <row r="144" spans="1:18" ht="15.95" customHeight="1">
      <c r="A144" s="396"/>
      <c r="B144" s="199"/>
      <c r="C144" s="122"/>
      <c r="D144" s="105"/>
      <c r="E144" s="107"/>
      <c r="F144" s="130"/>
      <c r="G144" s="113"/>
      <c r="H144" s="516"/>
      <c r="I144" s="456" t="s">
        <v>472</v>
      </c>
      <c r="J144" s="31">
        <v>88520000</v>
      </c>
      <c r="K144" s="45" t="s">
        <v>299</v>
      </c>
      <c r="L144" s="46" t="s">
        <v>315</v>
      </c>
      <c r="M144" s="29">
        <v>1</v>
      </c>
      <c r="N144" s="29" t="s">
        <v>313</v>
      </c>
      <c r="O144" s="30" t="s">
        <v>317</v>
      </c>
      <c r="P144" s="31">
        <f>SUM(J144*M144)</f>
        <v>88520000</v>
      </c>
      <c r="Q144" s="32" t="s">
        <v>299</v>
      </c>
    </row>
    <row r="145" spans="1:17" ht="15.95" customHeight="1">
      <c r="A145" s="396"/>
      <c r="B145" s="199"/>
      <c r="C145" s="122"/>
      <c r="D145" s="105"/>
      <c r="E145" s="107"/>
      <c r="F145" s="64"/>
      <c r="G145" s="113"/>
      <c r="H145" s="516"/>
      <c r="I145" s="442" t="s">
        <v>17</v>
      </c>
      <c r="J145" s="31">
        <v>16480000</v>
      </c>
      <c r="K145" s="45" t="s">
        <v>299</v>
      </c>
      <c r="L145" s="46" t="s">
        <v>315</v>
      </c>
      <c r="M145" s="29">
        <v>1</v>
      </c>
      <c r="N145" s="29" t="s">
        <v>313</v>
      </c>
      <c r="O145" s="30" t="s">
        <v>323</v>
      </c>
      <c r="P145" s="31">
        <f>J145*M145</f>
        <v>16480000</v>
      </c>
      <c r="Q145" s="32" t="s">
        <v>299</v>
      </c>
    </row>
    <row r="146" spans="1:17" ht="15.95" customHeight="1">
      <c r="A146" s="396"/>
      <c r="B146" s="314"/>
      <c r="C146" s="123"/>
      <c r="D146" s="125"/>
      <c r="E146" s="111"/>
      <c r="F146" s="64"/>
      <c r="G146" s="119"/>
      <c r="H146" s="516"/>
      <c r="I146" s="547" t="s">
        <v>132</v>
      </c>
      <c r="J146" s="38">
        <v>13519354</v>
      </c>
      <c r="K146" s="39" t="s">
        <v>299</v>
      </c>
      <c r="L146" s="40" t="s">
        <v>315</v>
      </c>
      <c r="M146" s="41">
        <v>1</v>
      </c>
      <c r="N146" s="41" t="s">
        <v>313</v>
      </c>
      <c r="O146" s="42" t="s">
        <v>323</v>
      </c>
      <c r="P146" s="38">
        <f>J146*M146</f>
        <v>13519354</v>
      </c>
      <c r="Q146" s="43" t="s">
        <v>299</v>
      </c>
    </row>
    <row r="147" spans="1:17" ht="20.100000000000001" customHeight="1">
      <c r="A147" s="548" t="s">
        <v>346</v>
      </c>
      <c r="B147" s="534" t="s">
        <v>229</v>
      </c>
      <c r="C147" s="246" t="s">
        <v>322</v>
      </c>
      <c r="D147" s="487">
        <f>SUM(D148:D163)</f>
        <v>236673</v>
      </c>
      <c r="E147" s="487">
        <f>SUM(E148:E163)</f>
        <v>187221.5</v>
      </c>
      <c r="F147" s="76">
        <f>SUM(F148:F154)</f>
        <v>4163</v>
      </c>
      <c r="G147" s="489">
        <f>+E147-D147</f>
        <v>-49451.5</v>
      </c>
      <c r="H147" s="549">
        <f>+G147/D147*100</f>
        <v>-20.894440852991259</v>
      </c>
      <c r="I147" s="522"/>
      <c r="J147" s="325"/>
      <c r="K147" s="224"/>
      <c r="L147" s="326"/>
      <c r="M147" s="225"/>
      <c r="N147" s="225"/>
      <c r="O147" s="327"/>
      <c r="P147" s="325">
        <f>SUM(P148,P157,P162)</f>
        <v>187221500</v>
      </c>
      <c r="Q147" s="252" t="s">
        <v>299</v>
      </c>
    </row>
    <row r="148" spans="1:17" ht="15.95" customHeight="1">
      <c r="A148" s="396"/>
      <c r="B148" s="514" t="s">
        <v>177</v>
      </c>
      <c r="C148" s="121" t="s">
        <v>436</v>
      </c>
      <c r="D148" s="104">
        <v>19660</v>
      </c>
      <c r="E148" s="106">
        <f>+P148/1000</f>
        <v>7441.5</v>
      </c>
      <c r="F148" s="128">
        <v>4163</v>
      </c>
      <c r="G148" s="112">
        <f>+E148-D148</f>
        <v>-12218.5</v>
      </c>
      <c r="H148" s="131">
        <f>+G148/D148*100</f>
        <v>-62.149033570701931</v>
      </c>
      <c r="I148" s="197"/>
      <c r="J148" s="23"/>
      <c r="K148" s="35"/>
      <c r="L148" s="36"/>
      <c r="M148" s="118" t="s">
        <v>336</v>
      </c>
      <c r="N148" s="118"/>
      <c r="O148" s="118"/>
      <c r="P148" s="23">
        <f>SUM(P149,P155,P156)</f>
        <v>7441500</v>
      </c>
      <c r="Q148" s="18" t="s">
        <v>299</v>
      </c>
    </row>
    <row r="149" spans="1:17" ht="15.95" customHeight="1">
      <c r="A149" s="396"/>
      <c r="B149" s="263"/>
      <c r="C149" s="473"/>
      <c r="D149" s="105"/>
      <c r="E149" s="107"/>
      <c r="F149" s="130"/>
      <c r="G149" s="113"/>
      <c r="H149" s="526"/>
      <c r="I149" s="550" t="s">
        <v>168</v>
      </c>
      <c r="J149" s="551"/>
      <c r="K149" s="552"/>
      <c r="L149" s="553"/>
      <c r="M149" s="554"/>
      <c r="N149" s="554"/>
      <c r="O149" s="308"/>
      <c r="P149" s="31">
        <f>SUM(P150:P154)</f>
        <v>5941500</v>
      </c>
      <c r="Q149" s="32" t="s">
        <v>299</v>
      </c>
    </row>
    <row r="150" spans="1:17" ht="15.95" customHeight="1">
      <c r="A150" s="396"/>
      <c r="B150" s="199"/>
      <c r="C150" s="473"/>
      <c r="D150" s="105"/>
      <c r="E150" s="107"/>
      <c r="F150" s="130"/>
      <c r="G150" s="113"/>
      <c r="H150" s="526"/>
      <c r="I150" s="206" t="s">
        <v>37</v>
      </c>
      <c r="J150" s="31">
        <v>0</v>
      </c>
      <c r="K150" s="45" t="s">
        <v>299</v>
      </c>
      <c r="L150" s="46" t="s">
        <v>315</v>
      </c>
      <c r="M150" s="29"/>
      <c r="N150" s="29" t="s">
        <v>313</v>
      </c>
      <c r="O150" s="30" t="s">
        <v>317</v>
      </c>
      <c r="P150" s="31">
        <f t="shared" ref="P150:P155" si="7">SUM(J150*M150)</f>
        <v>0</v>
      </c>
      <c r="Q150" s="32" t="s">
        <v>299</v>
      </c>
    </row>
    <row r="151" spans="1:17" ht="15.95" customHeight="1">
      <c r="A151" s="396"/>
      <c r="B151" s="199"/>
      <c r="C151" s="473"/>
      <c r="D151" s="105"/>
      <c r="E151" s="107"/>
      <c r="F151" s="130"/>
      <c r="G151" s="113"/>
      <c r="H151" s="526"/>
      <c r="I151" s="206" t="s">
        <v>29</v>
      </c>
      <c r="J151" s="31">
        <v>401500</v>
      </c>
      <c r="K151" s="45" t="s">
        <v>299</v>
      </c>
      <c r="L151" s="46" t="s">
        <v>315</v>
      </c>
      <c r="M151" s="29">
        <v>1</v>
      </c>
      <c r="N151" s="29" t="s">
        <v>480</v>
      </c>
      <c r="O151" s="30" t="s">
        <v>317</v>
      </c>
      <c r="P151" s="31">
        <f t="shared" si="7"/>
        <v>401500</v>
      </c>
      <c r="Q151" s="32" t="s">
        <v>299</v>
      </c>
    </row>
    <row r="152" spans="1:17" ht="15.95" customHeight="1">
      <c r="A152" s="396"/>
      <c r="B152" s="199"/>
      <c r="C152" s="473"/>
      <c r="D152" s="105"/>
      <c r="E152" s="107"/>
      <c r="F152" s="130"/>
      <c r="G152" s="113"/>
      <c r="H152" s="526"/>
      <c r="I152" s="206" t="s">
        <v>251</v>
      </c>
      <c r="J152" s="31">
        <v>4700000</v>
      </c>
      <c r="K152" s="45" t="s">
        <v>299</v>
      </c>
      <c r="L152" s="46" t="s">
        <v>315</v>
      </c>
      <c r="M152" s="29">
        <v>1</v>
      </c>
      <c r="N152" s="29" t="s">
        <v>313</v>
      </c>
      <c r="O152" s="30" t="s">
        <v>317</v>
      </c>
      <c r="P152" s="31">
        <f t="shared" si="7"/>
        <v>4700000</v>
      </c>
      <c r="Q152" s="32" t="s">
        <v>299</v>
      </c>
    </row>
    <row r="153" spans="1:17" ht="15.95" customHeight="1">
      <c r="A153" s="513"/>
      <c r="B153" s="555"/>
      <c r="C153" s="473"/>
      <c r="D153" s="105"/>
      <c r="E153" s="107"/>
      <c r="F153" s="130"/>
      <c r="G153" s="113"/>
      <c r="H153" s="526"/>
      <c r="I153" s="440" t="s">
        <v>409</v>
      </c>
      <c r="J153" s="31">
        <v>0</v>
      </c>
      <c r="K153" s="45" t="s">
        <v>299</v>
      </c>
      <c r="L153" s="46" t="s">
        <v>315</v>
      </c>
      <c r="M153" s="29"/>
      <c r="N153" s="29" t="s">
        <v>313</v>
      </c>
      <c r="O153" s="30"/>
      <c r="P153" s="31">
        <f t="shared" si="7"/>
        <v>0</v>
      </c>
      <c r="Q153" s="32" t="s">
        <v>299</v>
      </c>
    </row>
    <row r="154" spans="1:17" ht="15.95" customHeight="1">
      <c r="A154" s="396"/>
      <c r="B154" s="199"/>
      <c r="C154" s="473"/>
      <c r="D154" s="105"/>
      <c r="E154" s="107"/>
      <c r="F154" s="130"/>
      <c r="G154" s="113"/>
      <c r="H154" s="526"/>
      <c r="I154" s="424" t="s">
        <v>428</v>
      </c>
      <c r="J154" s="31">
        <v>210000</v>
      </c>
      <c r="K154" s="45" t="s">
        <v>299</v>
      </c>
      <c r="L154" s="46" t="s">
        <v>315</v>
      </c>
      <c r="M154" s="29">
        <v>4</v>
      </c>
      <c r="N154" s="29" t="s">
        <v>313</v>
      </c>
      <c r="O154" s="29"/>
      <c r="P154" s="31">
        <f t="shared" si="7"/>
        <v>840000</v>
      </c>
      <c r="Q154" s="32" t="s">
        <v>299</v>
      </c>
    </row>
    <row r="155" spans="1:17" ht="15.75" customHeight="1">
      <c r="A155" s="396"/>
      <c r="B155" s="199"/>
      <c r="C155" s="473"/>
      <c r="D155" s="105"/>
      <c r="E155" s="107"/>
      <c r="F155" s="65"/>
      <c r="G155" s="113"/>
      <c r="H155" s="526"/>
      <c r="I155" s="556" t="s">
        <v>195</v>
      </c>
      <c r="J155" s="31">
        <v>500000</v>
      </c>
      <c r="K155" s="45" t="s">
        <v>299</v>
      </c>
      <c r="L155" s="46" t="s">
        <v>315</v>
      </c>
      <c r="M155" s="29">
        <v>1</v>
      </c>
      <c r="N155" s="29" t="s">
        <v>313</v>
      </c>
      <c r="O155" s="29"/>
      <c r="P155" s="31">
        <f t="shared" si="7"/>
        <v>500000</v>
      </c>
      <c r="Q155" s="32" t="s">
        <v>299</v>
      </c>
    </row>
    <row r="156" spans="1:17" ht="15.75" customHeight="1">
      <c r="A156" s="557"/>
      <c r="B156" s="199"/>
      <c r="C156" s="515"/>
      <c r="D156" s="125"/>
      <c r="E156" s="111"/>
      <c r="F156" s="65"/>
      <c r="G156" s="119"/>
      <c r="H156" s="132"/>
      <c r="I156" s="556" t="s">
        <v>378</v>
      </c>
      <c r="J156" s="38">
        <v>200000</v>
      </c>
      <c r="K156" s="39" t="s">
        <v>299</v>
      </c>
      <c r="L156" s="40" t="s">
        <v>315</v>
      </c>
      <c r="M156" s="41">
        <v>5</v>
      </c>
      <c r="N156" s="41" t="s">
        <v>313</v>
      </c>
      <c r="O156" s="41"/>
      <c r="P156" s="38">
        <f>SUM(J156*M156)</f>
        <v>1000000</v>
      </c>
      <c r="Q156" s="32" t="s">
        <v>299</v>
      </c>
    </row>
    <row r="157" spans="1:17" ht="15.95" customHeight="1">
      <c r="A157" s="557"/>
      <c r="B157" s="555"/>
      <c r="C157" s="127" t="s">
        <v>219</v>
      </c>
      <c r="D157" s="103">
        <v>67013</v>
      </c>
      <c r="E157" s="108">
        <f>P157/1000</f>
        <v>29780</v>
      </c>
      <c r="F157" s="102">
        <v>80151</v>
      </c>
      <c r="G157" s="114">
        <f>+E157-D157</f>
        <v>-37233</v>
      </c>
      <c r="H157" s="516">
        <f>+G157/D157*100</f>
        <v>-55.560861325414464</v>
      </c>
      <c r="I157" s="197"/>
      <c r="J157" s="23"/>
      <c r="K157" s="35"/>
      <c r="L157" s="36"/>
      <c r="M157" s="118" t="s">
        <v>336</v>
      </c>
      <c r="N157" s="118"/>
      <c r="O157" s="118"/>
      <c r="P157" s="23">
        <f>SUM(P158:P161)</f>
        <v>29780000</v>
      </c>
      <c r="Q157" s="18" t="s">
        <v>299</v>
      </c>
    </row>
    <row r="158" spans="1:17" ht="15.95" customHeight="1">
      <c r="A158" s="396"/>
      <c r="B158" s="555"/>
      <c r="C158" s="127"/>
      <c r="D158" s="103"/>
      <c r="E158" s="108"/>
      <c r="F158" s="102"/>
      <c r="G158" s="114"/>
      <c r="H158" s="516"/>
      <c r="I158" s="558" t="s">
        <v>261</v>
      </c>
      <c r="J158" s="31">
        <v>0</v>
      </c>
      <c r="K158" s="45" t="s">
        <v>299</v>
      </c>
      <c r="L158" s="46" t="s">
        <v>315</v>
      </c>
      <c r="M158" s="29">
        <v>1</v>
      </c>
      <c r="N158" s="29" t="s">
        <v>313</v>
      </c>
      <c r="O158" s="30" t="s">
        <v>317</v>
      </c>
      <c r="P158" s="31">
        <f>SUM(J158*M158)</f>
        <v>0</v>
      </c>
      <c r="Q158" s="32" t="s">
        <v>299</v>
      </c>
    </row>
    <row r="159" spans="1:17" ht="15.95" customHeight="1">
      <c r="A159" s="396"/>
      <c r="B159" s="199"/>
      <c r="C159" s="127"/>
      <c r="D159" s="103"/>
      <c r="E159" s="108"/>
      <c r="F159" s="102"/>
      <c r="G159" s="114"/>
      <c r="H159" s="516"/>
      <c r="I159" s="456" t="s">
        <v>285</v>
      </c>
      <c r="J159" s="31">
        <v>880000</v>
      </c>
      <c r="K159" s="45" t="s">
        <v>299</v>
      </c>
      <c r="L159" s="46" t="s">
        <v>315</v>
      </c>
      <c r="M159" s="29">
        <v>1</v>
      </c>
      <c r="N159" s="29" t="s">
        <v>313</v>
      </c>
      <c r="O159" s="30" t="s">
        <v>317</v>
      </c>
      <c r="P159" s="31">
        <f>SUM(J159*M159)</f>
        <v>880000</v>
      </c>
      <c r="Q159" s="32" t="s">
        <v>299</v>
      </c>
    </row>
    <row r="160" spans="1:17" ht="15.95" customHeight="1">
      <c r="A160" s="396"/>
      <c r="B160" s="199"/>
      <c r="C160" s="127"/>
      <c r="D160" s="103"/>
      <c r="E160" s="108"/>
      <c r="F160" s="102"/>
      <c r="G160" s="114"/>
      <c r="H160" s="516"/>
      <c r="I160" s="456" t="s">
        <v>388</v>
      </c>
      <c r="J160" s="31">
        <v>10000000</v>
      </c>
      <c r="K160" s="45" t="s">
        <v>299</v>
      </c>
      <c r="L160" s="46" t="s">
        <v>315</v>
      </c>
      <c r="M160" s="29">
        <v>1</v>
      </c>
      <c r="N160" s="29" t="s">
        <v>313</v>
      </c>
      <c r="O160" s="30" t="s">
        <v>317</v>
      </c>
      <c r="P160" s="31">
        <f>SUM(J160*M160)</f>
        <v>10000000</v>
      </c>
      <c r="Q160" s="32" t="s">
        <v>299</v>
      </c>
    </row>
    <row r="161" spans="1:17" ht="15.95" customHeight="1">
      <c r="A161" s="396"/>
      <c r="B161" s="199"/>
      <c r="C161" s="127"/>
      <c r="D161" s="103"/>
      <c r="E161" s="108"/>
      <c r="F161" s="102"/>
      <c r="G161" s="114"/>
      <c r="H161" s="115"/>
      <c r="I161" s="559" t="s">
        <v>222</v>
      </c>
      <c r="J161" s="38">
        <v>18900000</v>
      </c>
      <c r="K161" s="39" t="s">
        <v>299</v>
      </c>
      <c r="L161" s="40" t="s">
        <v>315</v>
      </c>
      <c r="M161" s="41">
        <v>1</v>
      </c>
      <c r="N161" s="41" t="s">
        <v>313</v>
      </c>
      <c r="O161" s="42" t="s">
        <v>317</v>
      </c>
      <c r="P161" s="38">
        <f>SUM(J161*M161)</f>
        <v>18900000</v>
      </c>
      <c r="Q161" s="43" t="s">
        <v>299</v>
      </c>
    </row>
    <row r="162" spans="1:17" ht="15.95" customHeight="1">
      <c r="A162" s="513"/>
      <c r="B162" s="263"/>
      <c r="C162" s="538" t="s">
        <v>284</v>
      </c>
      <c r="D162" s="103">
        <v>150000</v>
      </c>
      <c r="E162" s="108">
        <f>+P162/1000</f>
        <v>150000</v>
      </c>
      <c r="F162" s="76"/>
      <c r="G162" s="560">
        <f>+E162-D162</f>
        <v>0</v>
      </c>
      <c r="H162" s="115">
        <f>+G162/D162*100</f>
        <v>0</v>
      </c>
      <c r="I162" s="34"/>
      <c r="J162" s="23"/>
      <c r="K162" s="35"/>
      <c r="L162" s="36"/>
      <c r="M162" s="118" t="s">
        <v>336</v>
      </c>
      <c r="N162" s="118"/>
      <c r="O162" s="118"/>
      <c r="P162" s="23">
        <f>SUM(P163:P163)</f>
        <v>150000000</v>
      </c>
      <c r="Q162" s="18" t="s">
        <v>299</v>
      </c>
    </row>
    <row r="163" spans="1:17" ht="15.95" customHeight="1">
      <c r="A163" s="548"/>
      <c r="B163" s="263"/>
      <c r="C163" s="545"/>
      <c r="D163" s="103"/>
      <c r="E163" s="108"/>
      <c r="F163" s="76"/>
      <c r="G163" s="560"/>
      <c r="H163" s="116"/>
      <c r="I163" s="44" t="s">
        <v>284</v>
      </c>
      <c r="J163" s="25">
        <v>12500000</v>
      </c>
      <c r="K163" s="26" t="s">
        <v>299</v>
      </c>
      <c r="L163" s="27" t="s">
        <v>315</v>
      </c>
      <c r="M163" s="28">
        <v>12</v>
      </c>
      <c r="N163" s="28" t="s">
        <v>313</v>
      </c>
      <c r="O163" s="48" t="s">
        <v>317</v>
      </c>
      <c r="P163" s="25">
        <f>J163*M163</f>
        <v>150000000</v>
      </c>
      <c r="Q163" s="32" t="s">
        <v>299</v>
      </c>
    </row>
    <row r="164" spans="1:17" ht="20.100000000000001" customHeight="1">
      <c r="A164" s="561"/>
      <c r="B164" s="185" t="s">
        <v>52</v>
      </c>
      <c r="C164" s="71" t="s">
        <v>322</v>
      </c>
      <c r="D164" s="562">
        <f>+D165+D169+D173</f>
        <v>26000</v>
      </c>
      <c r="E164" s="563">
        <f>SUM(E165:E174)</f>
        <v>20314.665000000001</v>
      </c>
      <c r="F164" s="63" t="e">
        <f>+#REF!+F165+#REF!+#REF!+F173</f>
        <v>#REF!</v>
      </c>
      <c r="G164" s="564">
        <f t="shared" ref="G164:G166" si="8">+E164-D164</f>
        <v>-5685.3349999999991</v>
      </c>
      <c r="H164" s="565">
        <f>+G164/D164*100</f>
        <v>-21.866673076923075</v>
      </c>
      <c r="I164" s="34"/>
      <c r="J164" s="198"/>
      <c r="K164" s="35"/>
      <c r="L164" s="36"/>
      <c r="M164" s="66"/>
      <c r="N164" s="66"/>
      <c r="O164" s="329"/>
      <c r="P164" s="198">
        <f>SUM(P165,P169,P173)</f>
        <v>20314665</v>
      </c>
      <c r="Q164" s="18" t="s">
        <v>299</v>
      </c>
    </row>
    <row r="165" spans="1:17" ht="15.95" customHeight="1">
      <c r="A165" s="396"/>
      <c r="B165" s="199"/>
      <c r="C165" s="453" t="s">
        <v>82</v>
      </c>
      <c r="D165" s="104">
        <v>8800</v>
      </c>
      <c r="E165" s="106">
        <f>P165/1000</f>
        <v>3114.665</v>
      </c>
      <c r="F165" s="128">
        <v>14521</v>
      </c>
      <c r="G165" s="112">
        <f t="shared" si="8"/>
        <v>-5685.335</v>
      </c>
      <c r="H165" s="115">
        <f>+G165/D165*100</f>
        <v>-64.606079545454548</v>
      </c>
      <c r="I165" s="34"/>
      <c r="J165" s="23"/>
      <c r="K165" s="35"/>
      <c r="L165" s="36"/>
      <c r="M165" s="118" t="s">
        <v>336</v>
      </c>
      <c r="N165" s="118"/>
      <c r="O165" s="118"/>
      <c r="P165" s="23">
        <f>SUM(P166:P168)</f>
        <v>3114665</v>
      </c>
      <c r="Q165" s="18" t="s">
        <v>299</v>
      </c>
    </row>
    <row r="166" spans="1:17" ht="15.95" customHeight="1">
      <c r="A166" s="396"/>
      <c r="B166" s="199"/>
      <c r="C166" s="110"/>
      <c r="D166" s="105"/>
      <c r="E166" s="107"/>
      <c r="F166" s="130"/>
      <c r="G166" s="113">
        <f t="shared" si="8"/>
        <v>0</v>
      </c>
      <c r="H166" s="116" t="e">
        <f>+G166/D166*100</f>
        <v>#DIV/0!</v>
      </c>
      <c r="I166" s="24" t="s">
        <v>435</v>
      </c>
      <c r="J166" s="25">
        <v>254665</v>
      </c>
      <c r="K166" s="26" t="s">
        <v>299</v>
      </c>
      <c r="L166" s="27" t="s">
        <v>315</v>
      </c>
      <c r="M166" s="28">
        <v>1</v>
      </c>
      <c r="N166" s="29" t="s">
        <v>313</v>
      </c>
      <c r="O166" s="30" t="s">
        <v>317</v>
      </c>
      <c r="P166" s="31">
        <f>SUM(J166*M166)</f>
        <v>254665</v>
      </c>
      <c r="Q166" s="32" t="s">
        <v>299</v>
      </c>
    </row>
    <row r="167" spans="1:17" ht="15.95" customHeight="1">
      <c r="A167" s="396"/>
      <c r="B167" s="199"/>
      <c r="C167" s="110"/>
      <c r="D167" s="105"/>
      <c r="E167" s="107"/>
      <c r="F167" s="130"/>
      <c r="G167" s="113"/>
      <c r="H167" s="116"/>
      <c r="I167" s="24" t="s">
        <v>43</v>
      </c>
      <c r="J167" s="25">
        <v>0</v>
      </c>
      <c r="K167" s="26" t="s">
        <v>299</v>
      </c>
      <c r="L167" s="27" t="s">
        <v>315</v>
      </c>
      <c r="M167" s="28">
        <v>1</v>
      </c>
      <c r="N167" s="29" t="s">
        <v>313</v>
      </c>
      <c r="O167" s="30" t="s">
        <v>317</v>
      </c>
      <c r="P167" s="31">
        <f>SUM(J167*M167)</f>
        <v>0</v>
      </c>
      <c r="Q167" s="32" t="s">
        <v>299</v>
      </c>
    </row>
    <row r="168" spans="1:17" ht="15.95" customHeight="1">
      <c r="A168" s="396"/>
      <c r="B168" s="199"/>
      <c r="C168" s="110"/>
      <c r="D168" s="105"/>
      <c r="E168" s="107"/>
      <c r="F168" s="130"/>
      <c r="G168" s="113"/>
      <c r="H168" s="116"/>
      <c r="I168" s="24" t="s">
        <v>239</v>
      </c>
      <c r="J168" s="25">
        <v>2860000</v>
      </c>
      <c r="K168" s="26" t="s">
        <v>299</v>
      </c>
      <c r="L168" s="27" t="s">
        <v>315</v>
      </c>
      <c r="M168" s="28">
        <v>1</v>
      </c>
      <c r="N168" s="29" t="s">
        <v>313</v>
      </c>
      <c r="O168" s="30" t="s">
        <v>317</v>
      </c>
      <c r="P168" s="31">
        <f>SUM(J168*M168)</f>
        <v>2860000</v>
      </c>
      <c r="Q168" s="32" t="s">
        <v>299</v>
      </c>
    </row>
    <row r="169" spans="1:17" ht="15.95" customHeight="1">
      <c r="A169" s="396"/>
      <c r="B169" s="199"/>
      <c r="C169" s="121" t="s">
        <v>437</v>
      </c>
      <c r="D169" s="104">
        <v>17000</v>
      </c>
      <c r="E169" s="106">
        <f>P169/1000</f>
        <v>17000</v>
      </c>
      <c r="F169" s="63"/>
      <c r="G169" s="112">
        <f>E169-D169</f>
        <v>0</v>
      </c>
      <c r="H169" s="115">
        <f>+G169/D169*100</f>
        <v>0</v>
      </c>
      <c r="I169" s="19"/>
      <c r="J169" s="20"/>
      <c r="K169" s="21"/>
      <c r="L169" s="22"/>
      <c r="M169" s="120" t="s">
        <v>336</v>
      </c>
      <c r="N169" s="120"/>
      <c r="O169" s="120"/>
      <c r="P169" s="23">
        <f>SUM(P170:P172)</f>
        <v>17000000</v>
      </c>
      <c r="Q169" s="18" t="s">
        <v>299</v>
      </c>
    </row>
    <row r="170" spans="1:17" ht="15.95" customHeight="1">
      <c r="A170" s="396"/>
      <c r="B170" s="199"/>
      <c r="C170" s="122"/>
      <c r="D170" s="105"/>
      <c r="E170" s="107"/>
      <c r="F170" s="65"/>
      <c r="G170" s="113"/>
      <c r="H170" s="116" t="e">
        <f>+G170/D170*100</f>
        <v>#DIV/0!</v>
      </c>
      <c r="I170" s="24" t="s">
        <v>379</v>
      </c>
      <c r="J170" s="25">
        <v>3500000</v>
      </c>
      <c r="K170" s="26" t="s">
        <v>299</v>
      </c>
      <c r="L170" s="27" t="s">
        <v>315</v>
      </c>
      <c r="M170" s="28">
        <v>2</v>
      </c>
      <c r="N170" s="29" t="s">
        <v>313</v>
      </c>
      <c r="O170" s="30" t="s">
        <v>317</v>
      </c>
      <c r="P170" s="31">
        <f>SUM(J170*M170)</f>
        <v>7000000</v>
      </c>
      <c r="Q170" s="32" t="s">
        <v>299</v>
      </c>
    </row>
    <row r="171" spans="1:17" ht="15.95" customHeight="1">
      <c r="A171" s="396"/>
      <c r="B171" s="199"/>
      <c r="C171" s="122"/>
      <c r="D171" s="105"/>
      <c r="E171" s="107"/>
      <c r="F171" s="65"/>
      <c r="G171" s="113"/>
      <c r="H171" s="116"/>
      <c r="I171" s="24" t="s">
        <v>354</v>
      </c>
      <c r="J171" s="25">
        <v>400000</v>
      </c>
      <c r="K171" s="26" t="s">
        <v>299</v>
      </c>
      <c r="L171" s="27" t="s">
        <v>315</v>
      </c>
      <c r="M171" s="28">
        <v>12</v>
      </c>
      <c r="N171" s="29" t="s">
        <v>313</v>
      </c>
      <c r="O171" s="30" t="s">
        <v>317</v>
      </c>
      <c r="P171" s="31">
        <f>SUM(J171*M171)</f>
        <v>4800000</v>
      </c>
      <c r="Q171" s="32" t="s">
        <v>299</v>
      </c>
    </row>
    <row r="172" spans="1:17" ht="15.95" customHeight="1">
      <c r="A172" s="396"/>
      <c r="B172" s="199"/>
      <c r="C172" s="123"/>
      <c r="D172" s="125"/>
      <c r="E172" s="111"/>
      <c r="F172" s="64"/>
      <c r="G172" s="119"/>
      <c r="H172" s="116"/>
      <c r="I172" s="33" t="s">
        <v>376</v>
      </c>
      <c r="J172" s="25">
        <v>400000</v>
      </c>
      <c r="K172" s="26" t="s">
        <v>299</v>
      </c>
      <c r="L172" s="27" t="s">
        <v>315</v>
      </c>
      <c r="M172" s="28">
        <v>13</v>
      </c>
      <c r="N172" s="29" t="s">
        <v>313</v>
      </c>
      <c r="O172" s="30" t="s">
        <v>317</v>
      </c>
      <c r="P172" s="31">
        <f>SUM(J172*M172)</f>
        <v>5200000</v>
      </c>
      <c r="Q172" s="32" t="s">
        <v>299</v>
      </c>
    </row>
    <row r="173" spans="1:17" ht="15.95" customHeight="1">
      <c r="A173" s="396"/>
      <c r="B173" s="199"/>
      <c r="C173" s="109" t="s">
        <v>140</v>
      </c>
      <c r="D173" s="104">
        <v>200</v>
      </c>
      <c r="E173" s="106">
        <f>+P173/1000</f>
        <v>200</v>
      </c>
      <c r="F173" s="128">
        <v>346</v>
      </c>
      <c r="G173" s="112">
        <f>+E173-D173</f>
        <v>0</v>
      </c>
      <c r="H173" s="115">
        <v>0</v>
      </c>
      <c r="I173" s="34"/>
      <c r="J173" s="23"/>
      <c r="K173" s="35"/>
      <c r="L173" s="36"/>
      <c r="M173" s="118" t="s">
        <v>336</v>
      </c>
      <c r="N173" s="118"/>
      <c r="O173" s="118"/>
      <c r="P173" s="23">
        <f>SUM(P174:P174)</f>
        <v>200000</v>
      </c>
      <c r="Q173" s="18" t="s">
        <v>299</v>
      </c>
    </row>
    <row r="174" spans="1:17" ht="19.5" customHeight="1">
      <c r="A174" s="396"/>
      <c r="B174" s="314"/>
      <c r="C174" s="124"/>
      <c r="D174" s="125"/>
      <c r="E174" s="111"/>
      <c r="F174" s="129"/>
      <c r="G174" s="119"/>
      <c r="H174" s="117"/>
      <c r="I174" s="37" t="s">
        <v>140</v>
      </c>
      <c r="J174" s="38">
        <v>100000</v>
      </c>
      <c r="K174" s="39" t="s">
        <v>299</v>
      </c>
      <c r="L174" s="40" t="s">
        <v>315</v>
      </c>
      <c r="M174" s="41">
        <v>2</v>
      </c>
      <c r="N174" s="41" t="s">
        <v>313</v>
      </c>
      <c r="O174" s="42" t="s">
        <v>317</v>
      </c>
      <c r="P174" s="38">
        <f>SUM(J174*M174)</f>
        <v>200000</v>
      </c>
      <c r="Q174" s="43" t="s">
        <v>299</v>
      </c>
    </row>
    <row r="175" spans="1:17" ht="20.100000000000001" customHeight="1">
      <c r="A175" s="561" t="s">
        <v>346</v>
      </c>
      <c r="B175" s="185" t="s">
        <v>207</v>
      </c>
      <c r="C175" s="71" t="s">
        <v>322</v>
      </c>
      <c r="D175" s="562">
        <f>SUM(D176:D176:D180)</f>
        <v>5463</v>
      </c>
      <c r="E175" s="563">
        <f>SUM(E176:E178)</f>
        <v>3463</v>
      </c>
      <c r="F175" s="63">
        <f>SUM(F176:F185)</f>
        <v>16820</v>
      </c>
      <c r="G175" s="564">
        <f>+E175-D175</f>
        <v>-2000</v>
      </c>
      <c r="H175" s="565">
        <f>+G175/D175*100</f>
        <v>-36.609921288669227</v>
      </c>
      <c r="I175" s="522"/>
      <c r="J175" s="325"/>
      <c r="K175" s="224"/>
      <c r="L175" s="326"/>
      <c r="M175" s="225"/>
      <c r="N175" s="225"/>
      <c r="O175" s="327"/>
      <c r="P175" s="325">
        <f>SUM(P176,P178)</f>
        <v>3462500</v>
      </c>
      <c r="Q175" s="252" t="s">
        <v>299</v>
      </c>
    </row>
    <row r="176" spans="1:17" ht="15.95" customHeight="1">
      <c r="A176" s="396"/>
      <c r="B176" s="199"/>
      <c r="C176" s="109" t="s">
        <v>185</v>
      </c>
      <c r="D176" s="104">
        <v>3750</v>
      </c>
      <c r="E176" s="106">
        <f>P176/1000</f>
        <v>1750</v>
      </c>
      <c r="F176" s="128">
        <v>300</v>
      </c>
      <c r="G176" s="112">
        <f>+E176-D176</f>
        <v>-2000</v>
      </c>
      <c r="H176" s="131">
        <f>G176/D176*100</f>
        <v>-53.333333333333336</v>
      </c>
      <c r="I176" s="34"/>
      <c r="J176" s="198"/>
      <c r="K176" s="35"/>
      <c r="L176" s="36"/>
      <c r="M176" s="118" t="s">
        <v>336</v>
      </c>
      <c r="N176" s="118"/>
      <c r="O176" s="118"/>
      <c r="P176" s="198">
        <f>SUM(P177:P177)</f>
        <v>1750000</v>
      </c>
      <c r="Q176" s="18" t="s">
        <v>299</v>
      </c>
    </row>
    <row r="177" spans="1:32" ht="15.95" customHeight="1">
      <c r="A177" s="396"/>
      <c r="B177" s="199"/>
      <c r="C177" s="110"/>
      <c r="D177" s="105"/>
      <c r="E177" s="107"/>
      <c r="F177" s="130"/>
      <c r="G177" s="113"/>
      <c r="H177" s="132"/>
      <c r="I177" s="471" t="s">
        <v>13</v>
      </c>
      <c r="J177" s="31">
        <v>1750000</v>
      </c>
      <c r="K177" s="45" t="s">
        <v>299</v>
      </c>
      <c r="L177" s="46" t="s">
        <v>315</v>
      </c>
      <c r="M177" s="29">
        <v>1</v>
      </c>
      <c r="N177" s="29" t="s">
        <v>300</v>
      </c>
      <c r="O177" s="30" t="s">
        <v>317</v>
      </c>
      <c r="P177" s="31">
        <f>SUM(J177*M177)</f>
        <v>1750000</v>
      </c>
      <c r="Q177" s="32" t="s">
        <v>299</v>
      </c>
    </row>
    <row r="178" spans="1:32" ht="15.95" customHeight="1">
      <c r="A178" s="396"/>
      <c r="B178" s="199"/>
      <c r="C178" s="121" t="s">
        <v>444</v>
      </c>
      <c r="D178" s="104">
        <v>1713</v>
      </c>
      <c r="E178" s="106">
        <v>1713</v>
      </c>
      <c r="F178" s="128">
        <v>2900</v>
      </c>
      <c r="G178" s="112">
        <f>+E178-D178</f>
        <v>0</v>
      </c>
      <c r="H178" s="115">
        <f>+G178/D178*100</f>
        <v>0</v>
      </c>
      <c r="I178" s="34"/>
      <c r="J178" s="23"/>
      <c r="K178" s="35"/>
      <c r="L178" s="36"/>
      <c r="M178" s="118" t="s">
        <v>336</v>
      </c>
      <c r="N178" s="118"/>
      <c r="O178" s="118"/>
      <c r="P178" s="23">
        <f>SUM(P179:P180)</f>
        <v>1712500</v>
      </c>
      <c r="Q178" s="18" t="s">
        <v>299</v>
      </c>
    </row>
    <row r="179" spans="1:32" ht="15.95" customHeight="1">
      <c r="A179" s="396"/>
      <c r="B179" s="199"/>
      <c r="C179" s="473"/>
      <c r="D179" s="105"/>
      <c r="E179" s="107"/>
      <c r="F179" s="130"/>
      <c r="G179" s="113">
        <f>+E179-D179</f>
        <v>0</v>
      </c>
      <c r="H179" s="116" t="e">
        <f>+G179/D179*100</f>
        <v>#DIV/0!</v>
      </c>
      <c r="I179" s="44" t="s">
        <v>68</v>
      </c>
      <c r="J179" s="31">
        <v>1300000</v>
      </c>
      <c r="K179" s="45" t="s">
        <v>299</v>
      </c>
      <c r="L179" s="46" t="s">
        <v>315</v>
      </c>
      <c r="M179" s="29">
        <v>1</v>
      </c>
      <c r="N179" s="29" t="s">
        <v>313</v>
      </c>
      <c r="O179" s="30" t="s">
        <v>317</v>
      </c>
      <c r="P179" s="31">
        <f>SUM(J179*M179)</f>
        <v>1300000</v>
      </c>
      <c r="Q179" s="32" t="s">
        <v>299</v>
      </c>
    </row>
    <row r="180" spans="1:32" ht="15.95" customHeight="1">
      <c r="A180" s="396"/>
      <c r="B180" s="314"/>
      <c r="C180" s="515"/>
      <c r="D180" s="125"/>
      <c r="E180" s="111"/>
      <c r="F180" s="129"/>
      <c r="G180" s="119">
        <f>+E180-D180</f>
        <v>0</v>
      </c>
      <c r="H180" s="117" t="e">
        <f>+G180/D180*100</f>
        <v>#DIV/0!</v>
      </c>
      <c r="I180" s="37" t="s">
        <v>392</v>
      </c>
      <c r="J180" s="38">
        <v>412500</v>
      </c>
      <c r="K180" s="39" t="s">
        <v>299</v>
      </c>
      <c r="L180" s="40" t="s">
        <v>315</v>
      </c>
      <c r="M180" s="41">
        <v>1</v>
      </c>
      <c r="N180" s="41" t="s">
        <v>313</v>
      </c>
      <c r="O180" s="42" t="s">
        <v>317</v>
      </c>
      <c r="P180" s="38">
        <f>SUM(J180*M180)</f>
        <v>412500</v>
      </c>
      <c r="Q180" s="43" t="s">
        <v>299</v>
      </c>
    </row>
    <row r="181" spans="1:32" ht="20.100000000000001" customHeight="1">
      <c r="A181" s="548"/>
      <c r="B181" s="566" t="s">
        <v>225</v>
      </c>
      <c r="C181" s="71" t="s">
        <v>322</v>
      </c>
      <c r="D181" s="69">
        <f>SUM(D182:D185)</f>
        <v>22210</v>
      </c>
      <c r="E181" s="67">
        <f>P181/1000</f>
        <v>8886</v>
      </c>
      <c r="F181" s="63"/>
      <c r="G181" s="67">
        <f>E181-D181</f>
        <v>-13324</v>
      </c>
      <c r="H181" s="74">
        <f>G181/D181*100</f>
        <v>-59.990995047275995</v>
      </c>
      <c r="I181" s="34"/>
      <c r="J181" s="23"/>
      <c r="K181" s="35"/>
      <c r="L181" s="36"/>
      <c r="M181" s="66"/>
      <c r="N181" s="66"/>
      <c r="O181" s="329"/>
      <c r="P181" s="23">
        <f>P182</f>
        <v>8886000</v>
      </c>
      <c r="Q181" s="18" t="s">
        <v>299</v>
      </c>
    </row>
    <row r="182" spans="1:32" ht="15.95" customHeight="1">
      <c r="A182" s="557"/>
      <c r="B182" s="567"/>
      <c r="C182" s="405" t="s">
        <v>92</v>
      </c>
      <c r="D182" s="104">
        <v>22210</v>
      </c>
      <c r="E182" s="106">
        <f>+P182/1000</f>
        <v>8886</v>
      </c>
      <c r="F182" s="128">
        <v>13620</v>
      </c>
      <c r="G182" s="112">
        <f>+E182-D182</f>
        <v>-13324</v>
      </c>
      <c r="H182" s="115">
        <f>+G182/D182*100</f>
        <v>-59.990995047275995</v>
      </c>
      <c r="I182" s="34"/>
      <c r="J182" s="23"/>
      <c r="K182" s="35"/>
      <c r="L182" s="36"/>
      <c r="M182" s="118" t="s">
        <v>336</v>
      </c>
      <c r="N182" s="118"/>
      <c r="O182" s="118"/>
      <c r="P182" s="23">
        <f>SUM(P183:P185)</f>
        <v>8886000</v>
      </c>
      <c r="Q182" s="18" t="s">
        <v>299</v>
      </c>
    </row>
    <row r="183" spans="1:32" ht="15.95" customHeight="1">
      <c r="A183" s="557"/>
      <c r="B183" s="199"/>
      <c r="C183" s="122"/>
      <c r="D183" s="105"/>
      <c r="E183" s="107"/>
      <c r="F183" s="130"/>
      <c r="G183" s="113"/>
      <c r="H183" s="116"/>
      <c r="I183" s="568" t="s">
        <v>216</v>
      </c>
      <c r="J183" s="31">
        <v>1600000</v>
      </c>
      <c r="K183" s="45" t="s">
        <v>299</v>
      </c>
      <c r="L183" s="46" t="s">
        <v>315</v>
      </c>
      <c r="M183" s="29">
        <v>1</v>
      </c>
      <c r="N183" s="29" t="s">
        <v>313</v>
      </c>
      <c r="O183" s="30" t="s">
        <v>317</v>
      </c>
      <c r="P183" s="31">
        <f t="shared" ref="P183:P185" si="9">SUM(J183*M183)</f>
        <v>1600000</v>
      </c>
      <c r="Q183" s="32" t="s">
        <v>299</v>
      </c>
      <c r="R183" s="184"/>
      <c r="S183" s="183"/>
      <c r="T183" s="183"/>
      <c r="U183" s="183"/>
      <c r="V183" s="183"/>
      <c r="W183" s="183"/>
      <c r="X183" s="183"/>
      <c r="Y183" s="183"/>
      <c r="Z183" s="183"/>
      <c r="AA183" s="183"/>
      <c r="AB183" s="183"/>
      <c r="AC183" s="183"/>
      <c r="AD183" s="183"/>
      <c r="AE183" s="184"/>
      <c r="AF183" s="184"/>
    </row>
    <row r="184" spans="1:32" ht="15.95" customHeight="1">
      <c r="A184" s="557"/>
      <c r="B184" s="199"/>
      <c r="C184" s="122"/>
      <c r="D184" s="105"/>
      <c r="E184" s="107"/>
      <c r="F184" s="130"/>
      <c r="G184" s="113"/>
      <c r="H184" s="116"/>
      <c r="I184" s="44" t="s">
        <v>214</v>
      </c>
      <c r="J184" s="31">
        <v>3500000</v>
      </c>
      <c r="K184" s="45" t="s">
        <v>299</v>
      </c>
      <c r="L184" s="46" t="s">
        <v>315</v>
      </c>
      <c r="M184" s="29">
        <v>2</v>
      </c>
      <c r="N184" s="29" t="s">
        <v>313</v>
      </c>
      <c r="O184" s="30" t="s">
        <v>317</v>
      </c>
      <c r="P184" s="31">
        <f t="shared" si="9"/>
        <v>7000000</v>
      </c>
      <c r="Q184" s="32" t="s">
        <v>299</v>
      </c>
    </row>
    <row r="185" spans="1:32" ht="15.95" customHeight="1">
      <c r="A185" s="557"/>
      <c r="B185" s="199"/>
      <c r="C185" s="122"/>
      <c r="D185" s="105"/>
      <c r="E185" s="107"/>
      <c r="F185" s="130"/>
      <c r="G185" s="113"/>
      <c r="H185" s="116"/>
      <c r="I185" s="44" t="s">
        <v>247</v>
      </c>
      <c r="J185" s="31">
        <v>286000</v>
      </c>
      <c r="K185" s="45" t="s">
        <v>299</v>
      </c>
      <c r="L185" s="46" t="s">
        <v>315</v>
      </c>
      <c r="M185" s="29">
        <v>1</v>
      </c>
      <c r="N185" s="29" t="s">
        <v>313</v>
      </c>
      <c r="O185" s="30" t="s">
        <v>317</v>
      </c>
      <c r="P185" s="31">
        <f t="shared" si="9"/>
        <v>286000</v>
      </c>
      <c r="Q185" s="32" t="s">
        <v>299</v>
      </c>
    </row>
    <row r="186" spans="1:32" ht="20.100000000000001" customHeight="1">
      <c r="A186" s="561"/>
      <c r="B186" s="185" t="s">
        <v>113</v>
      </c>
      <c r="C186" s="569" t="s">
        <v>322</v>
      </c>
      <c r="D186" s="487">
        <f>SUM(D187:D194)</f>
        <v>16745</v>
      </c>
      <c r="E186" s="570">
        <f>SUM(E187:E194)</f>
        <v>15505</v>
      </c>
      <c r="F186" s="76">
        <f>SUM(F187:F194)</f>
        <v>18973</v>
      </c>
      <c r="G186" s="489">
        <f>+E186-D186</f>
        <v>-1240</v>
      </c>
      <c r="H186" s="490">
        <f>+G186/D186*100</f>
        <v>-7.4051955807703793</v>
      </c>
      <c r="I186" s="491"/>
      <c r="J186" s="325"/>
      <c r="K186" s="224"/>
      <c r="L186" s="326"/>
      <c r="M186" s="225"/>
      <c r="N186" s="225"/>
      <c r="O186" s="327"/>
      <c r="P186" s="571">
        <f>SUM(P187,P193)</f>
        <v>15505000</v>
      </c>
      <c r="Q186" s="252" t="s">
        <v>299</v>
      </c>
    </row>
    <row r="187" spans="1:32" ht="15.95" customHeight="1">
      <c r="A187" s="396"/>
      <c r="B187" s="199"/>
      <c r="C187" s="121" t="s">
        <v>201</v>
      </c>
      <c r="D187" s="104">
        <v>10200</v>
      </c>
      <c r="E187" s="106">
        <f>+P187/1000</f>
        <v>8960</v>
      </c>
      <c r="F187" s="128">
        <v>18973</v>
      </c>
      <c r="G187" s="112">
        <f>+E187-D187</f>
        <v>-1240</v>
      </c>
      <c r="H187" s="115">
        <f>+G187/D187*100</f>
        <v>-12.156862745098039</v>
      </c>
      <c r="I187" s="34"/>
      <c r="J187" s="23"/>
      <c r="K187" s="35"/>
      <c r="L187" s="36"/>
      <c r="M187" s="118" t="s">
        <v>336</v>
      </c>
      <c r="N187" s="118"/>
      <c r="O187" s="118"/>
      <c r="P187" s="23">
        <f>SUM(P188:P192)</f>
        <v>8960000</v>
      </c>
      <c r="Q187" s="18" t="s">
        <v>299</v>
      </c>
    </row>
    <row r="188" spans="1:32" ht="15.95" customHeight="1">
      <c r="A188" s="396"/>
      <c r="B188" s="199"/>
      <c r="C188" s="473"/>
      <c r="D188" s="105"/>
      <c r="E188" s="107"/>
      <c r="F188" s="130"/>
      <c r="G188" s="113"/>
      <c r="H188" s="116"/>
      <c r="I188" s="44" t="s">
        <v>178</v>
      </c>
      <c r="J188" s="31">
        <v>4300000</v>
      </c>
      <c r="K188" s="45" t="s">
        <v>299</v>
      </c>
      <c r="L188" s="46" t="s">
        <v>315</v>
      </c>
      <c r="M188" s="29">
        <v>1</v>
      </c>
      <c r="N188" s="29" t="s">
        <v>313</v>
      </c>
      <c r="O188" s="29" t="s">
        <v>317</v>
      </c>
      <c r="P188" s="31">
        <f>J188*M188</f>
        <v>4300000</v>
      </c>
      <c r="Q188" s="32" t="s">
        <v>299</v>
      </c>
    </row>
    <row r="189" spans="1:32" ht="15.95" customHeight="1">
      <c r="A189" s="396"/>
      <c r="B189" s="199"/>
      <c r="C189" s="473"/>
      <c r="D189" s="105"/>
      <c r="E189" s="107"/>
      <c r="F189" s="65"/>
      <c r="G189" s="113"/>
      <c r="H189" s="116"/>
      <c r="I189" s="44" t="s">
        <v>362</v>
      </c>
      <c r="J189" s="31">
        <v>560000</v>
      </c>
      <c r="K189" s="45" t="s">
        <v>299</v>
      </c>
      <c r="L189" s="46" t="s">
        <v>315</v>
      </c>
      <c r="M189" s="29">
        <v>1</v>
      </c>
      <c r="N189" s="29" t="s">
        <v>313</v>
      </c>
      <c r="O189" s="29" t="s">
        <v>317</v>
      </c>
      <c r="P189" s="31">
        <f>SUM(J189*M189)</f>
        <v>560000</v>
      </c>
      <c r="Q189" s="32" t="s">
        <v>299</v>
      </c>
    </row>
    <row r="190" spans="1:32" ht="15.95" customHeight="1">
      <c r="A190" s="396"/>
      <c r="B190" s="199"/>
      <c r="C190" s="473"/>
      <c r="D190" s="105"/>
      <c r="E190" s="107"/>
      <c r="F190" s="65"/>
      <c r="G190" s="113"/>
      <c r="H190" s="116"/>
      <c r="I190" s="44" t="s">
        <v>213</v>
      </c>
      <c r="J190" s="31">
        <v>1750000</v>
      </c>
      <c r="K190" s="45" t="s">
        <v>299</v>
      </c>
      <c r="L190" s="46" t="s">
        <v>315</v>
      </c>
      <c r="M190" s="29">
        <v>2</v>
      </c>
      <c r="N190" s="29" t="s">
        <v>313</v>
      </c>
      <c r="O190" s="29" t="s">
        <v>317</v>
      </c>
      <c r="P190" s="31">
        <f>SUM(J190*M190)</f>
        <v>3500000</v>
      </c>
      <c r="Q190" s="32" t="s">
        <v>299</v>
      </c>
    </row>
    <row r="191" spans="1:32" ht="15.95" customHeight="1">
      <c r="A191" s="396"/>
      <c r="B191" s="199"/>
      <c r="C191" s="473"/>
      <c r="D191" s="105"/>
      <c r="E191" s="107"/>
      <c r="F191" s="65"/>
      <c r="G191" s="113"/>
      <c r="H191" s="116"/>
      <c r="I191" s="44" t="s">
        <v>188</v>
      </c>
      <c r="J191" s="31">
        <v>300000</v>
      </c>
      <c r="K191" s="45" t="s">
        <v>299</v>
      </c>
      <c r="L191" s="46" t="s">
        <v>315</v>
      </c>
      <c r="M191" s="29">
        <v>2</v>
      </c>
      <c r="N191" s="29" t="s">
        <v>313</v>
      </c>
      <c r="O191" s="29" t="s">
        <v>317</v>
      </c>
      <c r="P191" s="31">
        <f>SUM(J191*M191)</f>
        <v>600000</v>
      </c>
      <c r="Q191" s="32" t="s">
        <v>299</v>
      </c>
    </row>
    <row r="192" spans="1:32" ht="15.95" customHeight="1">
      <c r="A192" s="396"/>
      <c r="B192" s="199"/>
      <c r="C192" s="515"/>
      <c r="D192" s="125"/>
      <c r="E192" s="111"/>
      <c r="F192" s="65"/>
      <c r="G192" s="119"/>
      <c r="H192" s="117"/>
      <c r="I192" s="572" t="s">
        <v>189</v>
      </c>
      <c r="J192" s="31">
        <v>90000</v>
      </c>
      <c r="K192" s="26" t="s">
        <v>299</v>
      </c>
      <c r="L192" s="27" t="s">
        <v>315</v>
      </c>
      <c r="M192" s="28">
        <v>0</v>
      </c>
      <c r="N192" s="28" t="s">
        <v>313</v>
      </c>
      <c r="O192" s="48" t="s">
        <v>317</v>
      </c>
      <c r="P192" s="25">
        <f>SUM(J192*M192)</f>
        <v>0</v>
      </c>
      <c r="Q192" s="49" t="s">
        <v>299</v>
      </c>
    </row>
    <row r="193" spans="1:18" ht="15.95" customHeight="1">
      <c r="A193" s="396"/>
      <c r="B193" s="199"/>
      <c r="C193" s="126" t="s">
        <v>53</v>
      </c>
      <c r="D193" s="103">
        <v>6545</v>
      </c>
      <c r="E193" s="573">
        <f>+P193/1000</f>
        <v>6545</v>
      </c>
      <c r="F193" s="574">
        <v>0</v>
      </c>
      <c r="G193" s="114">
        <f>+E193-D193</f>
        <v>0</v>
      </c>
      <c r="H193" s="516">
        <v>0</v>
      </c>
      <c r="I193" s="34"/>
      <c r="J193" s="20"/>
      <c r="K193" s="21"/>
      <c r="L193" s="22"/>
      <c r="M193" s="120" t="s">
        <v>336</v>
      </c>
      <c r="N193" s="120"/>
      <c r="O193" s="120"/>
      <c r="P193" s="20">
        <f>SUM(P194:P194)</f>
        <v>6545000</v>
      </c>
      <c r="Q193" s="51" t="s">
        <v>299</v>
      </c>
    </row>
    <row r="194" spans="1:18" ht="15.95" customHeight="1">
      <c r="A194" s="396"/>
      <c r="B194" s="199"/>
      <c r="C194" s="126"/>
      <c r="D194" s="103"/>
      <c r="E194" s="573"/>
      <c r="F194" s="574"/>
      <c r="G194" s="114"/>
      <c r="H194" s="516"/>
      <c r="I194" s="462" t="s">
        <v>274</v>
      </c>
      <c r="J194" s="25">
        <v>6545000</v>
      </c>
      <c r="K194" s="26" t="s">
        <v>299</v>
      </c>
      <c r="L194" s="27" t="s">
        <v>315</v>
      </c>
      <c r="M194" s="28">
        <v>1</v>
      </c>
      <c r="N194" s="28" t="s">
        <v>313</v>
      </c>
      <c r="O194" s="48" t="s">
        <v>317</v>
      </c>
      <c r="P194" s="25">
        <f>SUM(J194*M194)</f>
        <v>6545000</v>
      </c>
      <c r="Q194" s="49" t="s">
        <v>299</v>
      </c>
    </row>
    <row r="195" spans="1:18" ht="20.100000000000001" customHeight="1">
      <c r="A195" s="396"/>
      <c r="B195" s="575" t="s">
        <v>66</v>
      </c>
      <c r="C195" s="52" t="s">
        <v>322</v>
      </c>
      <c r="D195" s="570">
        <f>SUM(D196:D203)</f>
        <v>68475</v>
      </c>
      <c r="E195" s="570">
        <f>SUM(E196:E203)</f>
        <v>47394</v>
      </c>
      <c r="F195" s="576" t="e">
        <f>SUM(#REF!)</f>
        <v>#REF!</v>
      </c>
      <c r="G195" s="489">
        <f>E195-D195</f>
        <v>-21081</v>
      </c>
      <c r="H195" s="490">
        <f>+G195/D195*100</f>
        <v>-30.786418400876229</v>
      </c>
      <c r="I195" s="522"/>
      <c r="J195" s="325"/>
      <c r="K195" s="224"/>
      <c r="L195" s="326"/>
      <c r="M195" s="225"/>
      <c r="N195" s="225"/>
      <c r="O195" s="327"/>
      <c r="P195" s="571">
        <f>SUM(P196,P199)</f>
        <v>47394000</v>
      </c>
      <c r="Q195" s="227" t="s">
        <v>299</v>
      </c>
    </row>
    <row r="196" spans="1:18" ht="15.95" customHeight="1">
      <c r="A196" s="396"/>
      <c r="B196" s="577"/>
      <c r="C196" s="121" t="s">
        <v>80</v>
      </c>
      <c r="D196" s="418">
        <v>30600</v>
      </c>
      <c r="E196" s="419">
        <f>+P196/1000</f>
        <v>26000</v>
      </c>
      <c r="F196" s="128">
        <v>661</v>
      </c>
      <c r="G196" s="112">
        <f>E196-D196</f>
        <v>-4600</v>
      </c>
      <c r="H196" s="420">
        <f>G196/D196*100</f>
        <v>-15.032679738562091</v>
      </c>
      <c r="I196" s="425"/>
      <c r="J196" s="23"/>
      <c r="K196" s="35"/>
      <c r="L196" s="36"/>
      <c r="M196" s="118" t="s">
        <v>336</v>
      </c>
      <c r="N196" s="118"/>
      <c r="O196" s="118"/>
      <c r="P196" s="23">
        <f>SUM(P197:P198)</f>
        <v>26000000</v>
      </c>
      <c r="Q196" s="18" t="s">
        <v>299</v>
      </c>
    </row>
    <row r="197" spans="1:18" ht="15.95" customHeight="1">
      <c r="A197" s="396"/>
      <c r="B197" s="577"/>
      <c r="C197" s="473"/>
      <c r="D197" s="421"/>
      <c r="E197" s="422"/>
      <c r="F197" s="130"/>
      <c r="G197" s="113"/>
      <c r="H197" s="423"/>
      <c r="I197" s="424" t="s">
        <v>456</v>
      </c>
      <c r="J197" s="31">
        <v>13000000</v>
      </c>
      <c r="K197" s="45" t="s">
        <v>299</v>
      </c>
      <c r="L197" s="46" t="s">
        <v>315</v>
      </c>
      <c r="M197" s="29">
        <v>2</v>
      </c>
      <c r="N197" s="29" t="s">
        <v>313</v>
      </c>
      <c r="O197" s="29" t="s">
        <v>317</v>
      </c>
      <c r="P197" s="31">
        <f>+J197*M197</f>
        <v>26000000</v>
      </c>
      <c r="Q197" s="32" t="s">
        <v>299</v>
      </c>
      <c r="R197" s="135" t="s">
        <v>359</v>
      </c>
    </row>
    <row r="198" spans="1:18" ht="15.95" customHeight="1">
      <c r="A198" s="396"/>
      <c r="B198" s="577"/>
      <c r="C198" s="473"/>
      <c r="D198" s="421"/>
      <c r="E198" s="422"/>
      <c r="F198" s="130"/>
      <c r="G198" s="113"/>
      <c r="H198" s="423"/>
      <c r="I198" s="424" t="s">
        <v>227</v>
      </c>
      <c r="J198" s="31">
        <v>300000</v>
      </c>
      <c r="K198" s="45" t="s">
        <v>314</v>
      </c>
      <c r="L198" s="46" t="s">
        <v>315</v>
      </c>
      <c r="M198" s="29">
        <v>0</v>
      </c>
      <c r="N198" s="29" t="s">
        <v>313</v>
      </c>
      <c r="O198" s="29" t="s">
        <v>317</v>
      </c>
      <c r="P198" s="31">
        <f>+J198*M198</f>
        <v>0</v>
      </c>
      <c r="Q198" s="32" t="s">
        <v>299</v>
      </c>
    </row>
    <row r="199" spans="1:18" ht="15.95" customHeight="1">
      <c r="A199" s="578"/>
      <c r="B199" s="579"/>
      <c r="C199" s="121" t="s">
        <v>243</v>
      </c>
      <c r="D199" s="418">
        <v>37875</v>
      </c>
      <c r="E199" s="419">
        <f>+P199/1000</f>
        <v>21394</v>
      </c>
      <c r="F199" s="128">
        <v>661</v>
      </c>
      <c r="G199" s="114">
        <f>E199-D199</f>
        <v>-16481</v>
      </c>
      <c r="H199" s="420">
        <f>G199/D199*100</f>
        <v>-43.514191419141909</v>
      </c>
      <c r="I199" s="266"/>
      <c r="J199" s="20"/>
      <c r="K199" s="21"/>
      <c r="L199" s="22"/>
      <c r="M199" s="120" t="s">
        <v>336</v>
      </c>
      <c r="N199" s="120"/>
      <c r="O199" s="120"/>
      <c r="P199" s="20">
        <f>SUM(P200:P203)</f>
        <v>21394000</v>
      </c>
      <c r="Q199" s="51" t="s">
        <v>299</v>
      </c>
    </row>
    <row r="200" spans="1:18" ht="15.95" customHeight="1">
      <c r="A200" s="396"/>
      <c r="B200" s="577"/>
      <c r="C200" s="473"/>
      <c r="D200" s="421"/>
      <c r="E200" s="422"/>
      <c r="F200" s="130"/>
      <c r="G200" s="114"/>
      <c r="H200" s="423"/>
      <c r="I200" s="456" t="s">
        <v>410</v>
      </c>
      <c r="J200" s="25">
        <v>924250</v>
      </c>
      <c r="K200" s="45" t="s">
        <v>299</v>
      </c>
      <c r="L200" s="46" t="s">
        <v>315</v>
      </c>
      <c r="M200" s="29">
        <v>8</v>
      </c>
      <c r="N200" s="29" t="s">
        <v>314</v>
      </c>
      <c r="O200" s="30" t="s">
        <v>317</v>
      </c>
      <c r="P200" s="25">
        <f>+J200*M200</f>
        <v>7394000</v>
      </c>
      <c r="Q200" s="32" t="s">
        <v>299</v>
      </c>
      <c r="R200" s="135" t="s">
        <v>6</v>
      </c>
    </row>
    <row r="201" spans="1:18" ht="15.95" customHeight="1">
      <c r="A201" s="396"/>
      <c r="B201" s="577"/>
      <c r="C201" s="473"/>
      <c r="D201" s="421"/>
      <c r="E201" s="422"/>
      <c r="F201" s="130"/>
      <c r="G201" s="114"/>
      <c r="H201" s="423"/>
      <c r="I201" s="456" t="s">
        <v>71</v>
      </c>
      <c r="J201" s="25">
        <v>70000</v>
      </c>
      <c r="K201" s="45" t="s">
        <v>299</v>
      </c>
      <c r="L201" s="46" t="s">
        <v>315</v>
      </c>
      <c r="M201" s="29">
        <v>200</v>
      </c>
      <c r="N201" s="29" t="s">
        <v>313</v>
      </c>
      <c r="O201" s="30" t="s">
        <v>317</v>
      </c>
      <c r="P201" s="25">
        <f>+J201*M201</f>
        <v>14000000</v>
      </c>
      <c r="Q201" s="32" t="s">
        <v>299</v>
      </c>
      <c r="R201" s="135" t="s">
        <v>10</v>
      </c>
    </row>
    <row r="202" spans="1:18" ht="15.95" customHeight="1">
      <c r="A202" s="396"/>
      <c r="B202" s="577"/>
      <c r="C202" s="473"/>
      <c r="D202" s="421"/>
      <c r="E202" s="422"/>
      <c r="F202" s="130"/>
      <c r="G202" s="114"/>
      <c r="H202" s="423"/>
      <c r="I202" s="580" t="s">
        <v>406</v>
      </c>
      <c r="J202" s="25">
        <v>5000000</v>
      </c>
      <c r="K202" s="26" t="s">
        <v>484</v>
      </c>
      <c r="L202" s="27" t="s">
        <v>315</v>
      </c>
      <c r="M202" s="28">
        <v>0</v>
      </c>
      <c r="N202" s="28" t="s">
        <v>313</v>
      </c>
      <c r="O202" s="48" t="s">
        <v>317</v>
      </c>
      <c r="P202" s="25">
        <f>+J202*M202</f>
        <v>0</v>
      </c>
      <c r="Q202" s="49" t="s">
        <v>299</v>
      </c>
    </row>
    <row r="203" spans="1:18" ht="15.95" customHeight="1">
      <c r="A203" s="396"/>
      <c r="B203" s="581"/>
      <c r="C203" s="515"/>
      <c r="D203" s="426"/>
      <c r="E203" s="427"/>
      <c r="F203" s="129"/>
      <c r="G203" s="114"/>
      <c r="H203" s="428"/>
      <c r="I203" s="582" t="s">
        <v>426</v>
      </c>
      <c r="J203" s="238">
        <v>2000000</v>
      </c>
      <c r="K203" s="524" t="s">
        <v>299</v>
      </c>
      <c r="L203" s="240" t="s">
        <v>315</v>
      </c>
      <c r="M203" s="239">
        <v>0</v>
      </c>
      <c r="N203" s="239" t="s">
        <v>313</v>
      </c>
      <c r="O203" s="241" t="s">
        <v>317</v>
      </c>
      <c r="P203" s="238">
        <f>+J203*M203</f>
        <v>0</v>
      </c>
      <c r="Q203" s="242" t="s">
        <v>299</v>
      </c>
      <c r="R203" s="135" t="s">
        <v>361</v>
      </c>
    </row>
    <row r="204" spans="1:18" ht="20.100000000000001" customHeight="1">
      <c r="A204" s="513" t="s">
        <v>346</v>
      </c>
      <c r="B204" s="185" t="s">
        <v>114</v>
      </c>
      <c r="C204" s="583" t="s">
        <v>322</v>
      </c>
      <c r="D204" s="584">
        <f>SUM(D205:D214)</f>
        <v>16688</v>
      </c>
      <c r="E204" s="585">
        <f>SUM(E205:E214)</f>
        <v>12764</v>
      </c>
      <c r="F204" s="65">
        <f>SUM(F205:F214)</f>
        <v>16571</v>
      </c>
      <c r="G204" s="586">
        <f>+E204-D204</f>
        <v>-3924</v>
      </c>
      <c r="H204" s="587">
        <f>+G204/D204*100</f>
        <v>-23.513902205177374</v>
      </c>
      <c r="I204" s="47"/>
      <c r="J204" s="25"/>
      <c r="K204" s="26"/>
      <c r="L204" s="240"/>
      <c r="M204" s="239"/>
      <c r="N204" s="239"/>
      <c r="O204" s="241"/>
      <c r="P204" s="238">
        <f>SUM(P205,P212)</f>
        <v>12764000</v>
      </c>
      <c r="Q204" s="242" t="s">
        <v>299</v>
      </c>
    </row>
    <row r="205" spans="1:18" ht="15.95" customHeight="1">
      <c r="A205" s="396"/>
      <c r="B205" s="588"/>
      <c r="C205" s="405" t="s">
        <v>84</v>
      </c>
      <c r="D205" s="418">
        <v>12088</v>
      </c>
      <c r="E205" s="419">
        <f>+P205/1000</f>
        <v>10204</v>
      </c>
      <c r="F205" s="128">
        <v>9358</v>
      </c>
      <c r="G205" s="407">
        <f>+E205-D205</f>
        <v>-1884</v>
      </c>
      <c r="H205" s="420">
        <f>+G205/D205*100</f>
        <v>-15.585704831237591</v>
      </c>
      <c r="I205" s="589"/>
      <c r="J205" s="20"/>
      <c r="K205" s="21"/>
      <c r="L205" s="21"/>
      <c r="M205" s="120" t="s">
        <v>336</v>
      </c>
      <c r="N205" s="120"/>
      <c r="O205" s="120"/>
      <c r="P205" s="50">
        <f>SUM(P206:P211)</f>
        <v>10204000</v>
      </c>
      <c r="Q205" s="51" t="s">
        <v>299</v>
      </c>
    </row>
    <row r="206" spans="1:18" ht="15.95" customHeight="1">
      <c r="A206" s="396"/>
      <c r="B206" s="199"/>
      <c r="C206" s="122"/>
      <c r="D206" s="421"/>
      <c r="E206" s="422"/>
      <c r="F206" s="130"/>
      <c r="G206" s="411"/>
      <c r="H206" s="423"/>
      <c r="I206" s="47" t="s">
        <v>81</v>
      </c>
      <c r="J206" s="25">
        <v>22000</v>
      </c>
      <c r="K206" s="26" t="s">
        <v>299</v>
      </c>
      <c r="L206" s="27" t="s">
        <v>315</v>
      </c>
      <c r="M206" s="28">
        <v>12</v>
      </c>
      <c r="N206" s="28" t="s">
        <v>314</v>
      </c>
      <c r="O206" s="48" t="s">
        <v>317</v>
      </c>
      <c r="P206" s="25">
        <f t="shared" ref="P206:P210" si="10">SUM(J206*M206)</f>
        <v>264000</v>
      </c>
      <c r="Q206" s="49" t="s">
        <v>299</v>
      </c>
    </row>
    <row r="207" spans="1:18" ht="15.95" customHeight="1">
      <c r="A207" s="396"/>
      <c r="B207" s="199"/>
      <c r="C207" s="122"/>
      <c r="D207" s="421"/>
      <c r="E207" s="422"/>
      <c r="F207" s="130"/>
      <c r="G207" s="411"/>
      <c r="H207" s="423"/>
      <c r="I207" s="47" t="s">
        <v>180</v>
      </c>
      <c r="J207" s="25">
        <v>320000</v>
      </c>
      <c r="K207" s="26" t="s">
        <v>299</v>
      </c>
      <c r="L207" s="27" t="s">
        <v>315</v>
      </c>
      <c r="M207" s="28">
        <v>12</v>
      </c>
      <c r="N207" s="28" t="s">
        <v>314</v>
      </c>
      <c r="O207" s="48" t="s">
        <v>317</v>
      </c>
      <c r="P207" s="25">
        <f t="shared" si="10"/>
        <v>3840000</v>
      </c>
      <c r="Q207" s="49" t="s">
        <v>299</v>
      </c>
    </row>
    <row r="208" spans="1:18" ht="15.95" customHeight="1">
      <c r="A208" s="396"/>
      <c r="B208" s="199"/>
      <c r="C208" s="122"/>
      <c r="D208" s="421"/>
      <c r="E208" s="422"/>
      <c r="F208" s="130"/>
      <c r="G208" s="411"/>
      <c r="H208" s="423"/>
      <c r="I208" s="47" t="s">
        <v>407</v>
      </c>
      <c r="J208" s="25">
        <v>85000</v>
      </c>
      <c r="K208" s="26" t="s">
        <v>299</v>
      </c>
      <c r="L208" s="27" t="s">
        <v>315</v>
      </c>
      <c r="M208" s="28">
        <v>12</v>
      </c>
      <c r="N208" s="28" t="s">
        <v>314</v>
      </c>
      <c r="O208" s="48" t="s">
        <v>317</v>
      </c>
      <c r="P208" s="25">
        <f t="shared" si="10"/>
        <v>1020000</v>
      </c>
      <c r="Q208" s="49" t="s">
        <v>299</v>
      </c>
      <c r="R208" s="135" t="s">
        <v>1</v>
      </c>
    </row>
    <row r="209" spans="1:18" ht="15.95" customHeight="1">
      <c r="A209" s="396"/>
      <c r="B209" s="199"/>
      <c r="C209" s="122"/>
      <c r="D209" s="421"/>
      <c r="E209" s="422"/>
      <c r="F209" s="130"/>
      <c r="G209" s="411"/>
      <c r="H209" s="423"/>
      <c r="I209" s="47" t="s">
        <v>264</v>
      </c>
      <c r="J209" s="25">
        <v>380000</v>
      </c>
      <c r="K209" s="26" t="s">
        <v>299</v>
      </c>
      <c r="L209" s="27" t="s">
        <v>315</v>
      </c>
      <c r="M209" s="28">
        <v>12</v>
      </c>
      <c r="N209" s="28" t="s">
        <v>314</v>
      </c>
      <c r="O209" s="48" t="s">
        <v>317</v>
      </c>
      <c r="P209" s="25">
        <f t="shared" si="10"/>
        <v>4560000</v>
      </c>
      <c r="Q209" s="49" t="s">
        <v>299</v>
      </c>
      <c r="R209" s="135" t="s">
        <v>3</v>
      </c>
    </row>
    <row r="210" spans="1:18" ht="15.95" customHeight="1">
      <c r="A210" s="396"/>
      <c r="B210" s="199"/>
      <c r="C210" s="122"/>
      <c r="D210" s="421"/>
      <c r="E210" s="422"/>
      <c r="F210" s="130"/>
      <c r="G210" s="411"/>
      <c r="H210" s="423"/>
      <c r="I210" s="47" t="s">
        <v>381</v>
      </c>
      <c r="J210" s="25">
        <v>35000</v>
      </c>
      <c r="K210" s="26" t="s">
        <v>299</v>
      </c>
      <c r="L210" s="27" t="s">
        <v>315</v>
      </c>
      <c r="M210" s="28">
        <v>12</v>
      </c>
      <c r="N210" s="28" t="s">
        <v>313</v>
      </c>
      <c r="O210" s="48" t="s">
        <v>317</v>
      </c>
      <c r="P210" s="25">
        <f t="shared" si="10"/>
        <v>420000</v>
      </c>
      <c r="Q210" s="49" t="s">
        <v>299</v>
      </c>
    </row>
    <row r="211" spans="1:18" ht="15.95" customHeight="1">
      <c r="A211" s="396"/>
      <c r="B211" s="199"/>
      <c r="C211" s="122"/>
      <c r="D211" s="421"/>
      <c r="E211" s="422"/>
      <c r="F211" s="65"/>
      <c r="G211" s="411"/>
      <c r="H211" s="423"/>
      <c r="I211" s="47" t="s">
        <v>228</v>
      </c>
      <c r="J211" s="25">
        <v>100000</v>
      </c>
      <c r="K211" s="26" t="s">
        <v>299</v>
      </c>
      <c r="L211" s="27" t="s">
        <v>315</v>
      </c>
      <c r="M211" s="28">
        <v>1</v>
      </c>
      <c r="N211" s="28" t="s">
        <v>313</v>
      </c>
      <c r="O211" s="48" t="s">
        <v>317</v>
      </c>
      <c r="P211" s="25">
        <f>J211*M211</f>
        <v>100000</v>
      </c>
      <c r="Q211" s="49" t="s">
        <v>299</v>
      </c>
    </row>
    <row r="212" spans="1:18" ht="15.95" customHeight="1">
      <c r="A212" s="396"/>
      <c r="B212" s="199"/>
      <c r="C212" s="405" t="s">
        <v>122</v>
      </c>
      <c r="D212" s="418">
        <v>4600</v>
      </c>
      <c r="E212" s="419">
        <f>+P212/1000</f>
        <v>2560</v>
      </c>
      <c r="F212" s="128">
        <v>7213</v>
      </c>
      <c r="G212" s="407">
        <f>+E212-D212</f>
        <v>-2040</v>
      </c>
      <c r="H212" s="420"/>
      <c r="I212" s="589"/>
      <c r="J212" s="20"/>
      <c r="K212" s="21"/>
      <c r="L212" s="22"/>
      <c r="M212" s="120" t="s">
        <v>336</v>
      </c>
      <c r="N212" s="120"/>
      <c r="O212" s="120"/>
      <c r="P212" s="50">
        <f>SUM(P213:P214)</f>
        <v>2560000</v>
      </c>
      <c r="Q212" s="51" t="s">
        <v>299</v>
      </c>
    </row>
    <row r="213" spans="1:18" ht="15.95" customHeight="1">
      <c r="A213" s="396"/>
      <c r="B213" s="199"/>
      <c r="C213" s="122"/>
      <c r="D213" s="590"/>
      <c r="E213" s="591"/>
      <c r="F213" s="130"/>
      <c r="G213" s="544"/>
      <c r="H213" s="592"/>
      <c r="I213" s="593" t="s">
        <v>209</v>
      </c>
      <c r="J213" s="25">
        <v>130000</v>
      </c>
      <c r="K213" s="26" t="s">
        <v>299</v>
      </c>
      <c r="L213" s="27" t="s">
        <v>315</v>
      </c>
      <c r="M213" s="28">
        <v>12</v>
      </c>
      <c r="N213" s="28" t="s">
        <v>313</v>
      </c>
      <c r="O213" s="48"/>
      <c r="P213" s="25">
        <f>SUM(J213*M213)</f>
        <v>1560000</v>
      </c>
      <c r="Q213" s="49" t="s">
        <v>299</v>
      </c>
    </row>
    <row r="214" spans="1:18" ht="15.95" customHeight="1">
      <c r="A214" s="396"/>
      <c r="B214" s="199"/>
      <c r="C214" s="122"/>
      <c r="D214" s="590"/>
      <c r="E214" s="591"/>
      <c r="F214" s="130"/>
      <c r="G214" s="544"/>
      <c r="H214" s="592"/>
      <c r="I214" s="47" t="s">
        <v>200</v>
      </c>
      <c r="J214" s="25">
        <v>1000000</v>
      </c>
      <c r="K214" s="26" t="s">
        <v>299</v>
      </c>
      <c r="L214" s="27" t="s">
        <v>315</v>
      </c>
      <c r="M214" s="28">
        <v>1</v>
      </c>
      <c r="N214" s="28" t="s">
        <v>313</v>
      </c>
      <c r="O214" s="48" t="s">
        <v>317</v>
      </c>
      <c r="P214" s="25">
        <f>SUM(J214*M214)</f>
        <v>1000000</v>
      </c>
      <c r="Q214" s="49" t="s">
        <v>299</v>
      </c>
    </row>
    <row r="215" spans="1:18" ht="18" customHeight="1">
      <c r="A215" s="171"/>
      <c r="B215" s="185" t="s">
        <v>50</v>
      </c>
      <c r="C215" s="72" t="s">
        <v>322</v>
      </c>
      <c r="D215" s="487">
        <f>SUM(D216:D217)</f>
        <v>46000</v>
      </c>
      <c r="E215" s="570">
        <f>SUM(E216:E217)</f>
        <v>20000</v>
      </c>
      <c r="F215" s="76">
        <f>SUM(F216:F217)</f>
        <v>2500</v>
      </c>
      <c r="G215" s="489">
        <f>+E215-D215</f>
        <v>-26000</v>
      </c>
      <c r="H215" s="490">
        <f>+G215/D215*100</f>
        <v>-56.521739130434781</v>
      </c>
      <c r="I215" s="522"/>
      <c r="J215" s="325"/>
      <c r="K215" s="224"/>
      <c r="L215" s="326"/>
      <c r="M215" s="225"/>
      <c r="N215" s="225"/>
      <c r="O215" s="327"/>
      <c r="P215" s="325">
        <f>P216</f>
        <v>20000000</v>
      </c>
      <c r="Q215" s="252" t="s">
        <v>299</v>
      </c>
    </row>
    <row r="216" spans="1:18" ht="18" customHeight="1">
      <c r="A216" s="192"/>
      <c r="B216" s="594" t="s">
        <v>346</v>
      </c>
      <c r="C216" s="121" t="s">
        <v>244</v>
      </c>
      <c r="D216" s="418">
        <v>46000</v>
      </c>
      <c r="E216" s="419">
        <f>+P216/1000</f>
        <v>20000</v>
      </c>
      <c r="F216" s="128">
        <v>2500</v>
      </c>
      <c r="G216" s="407">
        <f>+E216-D216</f>
        <v>-26000</v>
      </c>
      <c r="H216" s="408">
        <f>+G216/D216*100</f>
        <v>-56.521739130434781</v>
      </c>
      <c r="I216" s="595"/>
      <c r="J216" s="596"/>
      <c r="K216" s="35"/>
      <c r="L216" s="66"/>
      <c r="M216" s="118" t="s">
        <v>336</v>
      </c>
      <c r="N216" s="118"/>
      <c r="O216" s="118"/>
      <c r="P216" s="198">
        <f>SUM(P217:P218)</f>
        <v>20000000</v>
      </c>
      <c r="Q216" s="18" t="s">
        <v>299</v>
      </c>
    </row>
    <row r="217" spans="1:18" ht="18" customHeight="1">
      <c r="A217" s="192"/>
      <c r="B217" s="54"/>
      <c r="C217" s="473"/>
      <c r="D217" s="421"/>
      <c r="E217" s="422"/>
      <c r="F217" s="129"/>
      <c r="G217" s="411"/>
      <c r="H217" s="412"/>
      <c r="I217" s="424" t="s">
        <v>103</v>
      </c>
      <c r="J217" s="215">
        <v>10000000</v>
      </c>
      <c r="K217" s="45" t="s">
        <v>299</v>
      </c>
      <c r="L217" s="46" t="s">
        <v>315</v>
      </c>
      <c r="M217" s="29">
        <v>1</v>
      </c>
      <c r="N217" s="29" t="s">
        <v>313</v>
      </c>
      <c r="O217" s="30" t="s">
        <v>317</v>
      </c>
      <c r="P217" s="215">
        <f>SUM(J217*M217)</f>
        <v>10000000</v>
      </c>
      <c r="Q217" s="32" t="s">
        <v>299</v>
      </c>
    </row>
    <row r="218" spans="1:18" ht="18" customHeight="1">
      <c r="A218" s="313"/>
      <c r="B218" s="12"/>
      <c r="C218" s="515"/>
      <c r="D218" s="426"/>
      <c r="E218" s="427"/>
      <c r="F218" s="65"/>
      <c r="G218" s="416"/>
      <c r="H218" s="417"/>
      <c r="I218" s="470" t="s">
        <v>279</v>
      </c>
      <c r="J218" s="215">
        <v>5000000</v>
      </c>
      <c r="K218" s="45" t="s">
        <v>299</v>
      </c>
      <c r="L218" s="46" t="s">
        <v>315</v>
      </c>
      <c r="M218" s="29">
        <v>2</v>
      </c>
      <c r="N218" s="29" t="s">
        <v>313</v>
      </c>
      <c r="O218" s="30" t="s">
        <v>317</v>
      </c>
      <c r="P218" s="215">
        <f>SUM(J218*M218)</f>
        <v>10000000</v>
      </c>
      <c r="Q218" s="32" t="s">
        <v>299</v>
      </c>
    </row>
    <row r="219" spans="1:18" ht="20.100000000000001" customHeight="1">
      <c r="A219" s="256" t="s">
        <v>327</v>
      </c>
      <c r="B219" s="218" t="s">
        <v>311</v>
      </c>
      <c r="C219" s="597"/>
      <c r="D219" s="448">
        <f>+D220</f>
        <v>35000</v>
      </c>
      <c r="E219" s="448">
        <f>+E220</f>
        <v>35000</v>
      </c>
      <c r="F219" s="449"/>
      <c r="G219" s="450">
        <f>+E219-D219</f>
        <v>0</v>
      </c>
      <c r="H219" s="598">
        <f>+G219/D219*100</f>
        <v>0</v>
      </c>
      <c r="I219" s="34"/>
      <c r="J219" s="198"/>
      <c r="K219" s="35"/>
      <c r="L219" s="36"/>
      <c r="M219" s="66"/>
      <c r="N219" s="66"/>
      <c r="O219" s="329"/>
      <c r="P219" s="458">
        <f>P220</f>
        <v>35000000</v>
      </c>
      <c r="Q219" s="334" t="s">
        <v>299</v>
      </c>
    </row>
    <row r="220" spans="1:18" ht="15.95" customHeight="1">
      <c r="A220" s="192"/>
      <c r="B220" s="446" t="s">
        <v>327</v>
      </c>
      <c r="C220" s="405" t="s">
        <v>327</v>
      </c>
      <c r="D220" s="418">
        <v>35000</v>
      </c>
      <c r="E220" s="419">
        <f>+P220/1000</f>
        <v>35000</v>
      </c>
      <c r="F220" s="63"/>
      <c r="G220" s="407">
        <f>+E220-D220</f>
        <v>0</v>
      </c>
      <c r="H220" s="408">
        <f>+G220/D220*100</f>
        <v>0</v>
      </c>
      <c r="I220" s="425"/>
      <c r="J220" s="23"/>
      <c r="K220" s="35"/>
      <c r="L220" s="36"/>
      <c r="M220" s="118" t="s">
        <v>336</v>
      </c>
      <c r="N220" s="118"/>
      <c r="O220" s="118"/>
      <c r="P220" s="198">
        <f>SUM(P221:P221)</f>
        <v>35000000</v>
      </c>
      <c r="Q220" s="18" t="s">
        <v>299</v>
      </c>
    </row>
    <row r="221" spans="1:18" ht="15.95" customHeight="1">
      <c r="A221" s="192"/>
      <c r="B221" s="54"/>
      <c r="C221" s="122"/>
      <c r="D221" s="421"/>
      <c r="E221" s="422"/>
      <c r="F221" s="65"/>
      <c r="G221" s="411"/>
      <c r="H221" s="412"/>
      <c r="I221" s="424" t="s">
        <v>242</v>
      </c>
      <c r="J221" s="31">
        <v>17500000</v>
      </c>
      <c r="K221" s="45" t="s">
        <v>299</v>
      </c>
      <c r="L221" s="46" t="s">
        <v>315</v>
      </c>
      <c r="M221" s="29">
        <v>2</v>
      </c>
      <c r="N221" s="29" t="s">
        <v>313</v>
      </c>
      <c r="O221" s="30" t="s">
        <v>317</v>
      </c>
      <c r="P221" s="231">
        <f>+J221*M221</f>
        <v>35000000</v>
      </c>
      <c r="Q221" s="32" t="s">
        <v>299</v>
      </c>
    </row>
    <row r="222" spans="1:18" ht="21.75" customHeight="1">
      <c r="A222" s="599" t="s">
        <v>324</v>
      </c>
      <c r="B222" s="217" t="s">
        <v>311</v>
      </c>
      <c r="C222" s="218"/>
      <c r="D222" s="600">
        <f>SUM(D223:D318)</f>
        <v>1773067.0098800003</v>
      </c>
      <c r="E222" s="600">
        <f t="shared" ref="E222:E242" si="11">P222/1000</f>
        <v>1924310.4797900002</v>
      </c>
      <c r="F222" s="601" t="e">
        <f>SUM(F223:F231,F235:F317)</f>
        <v>#VALUE!</v>
      </c>
      <c r="G222" s="602">
        <f>+E222-D222</f>
        <v>151243.46990999999</v>
      </c>
      <c r="H222" s="598">
        <f t="shared" ref="H222:H234" si="12">+G222/D222*100</f>
        <v>8.5300481632804175</v>
      </c>
      <c r="I222" s="491"/>
      <c r="J222" s="325"/>
      <c r="K222" s="224"/>
      <c r="L222" s="225"/>
      <c r="M222" s="225"/>
      <c r="N222" s="225"/>
      <c r="O222" s="225"/>
      <c r="P222" s="325">
        <f>SUM(P223:P318)</f>
        <v>1924310479.7900002</v>
      </c>
      <c r="Q222" s="252" t="s">
        <v>299</v>
      </c>
    </row>
    <row r="223" spans="1:18" ht="17.45" customHeight="1">
      <c r="A223" s="396"/>
      <c r="B223" s="263" t="s">
        <v>324</v>
      </c>
      <c r="C223" s="603" t="s">
        <v>126</v>
      </c>
      <c r="D223" s="604">
        <v>43000</v>
      </c>
      <c r="E223" s="487">
        <f t="shared" si="11"/>
        <v>44000</v>
      </c>
      <c r="F223" s="605"/>
      <c r="G223" s="489">
        <f t="shared" ref="G223:G231" si="13">E223-D223</f>
        <v>1000</v>
      </c>
      <c r="H223" s="490">
        <f t="shared" si="12"/>
        <v>2.3255813953488373</v>
      </c>
      <c r="I223" s="606" t="s">
        <v>395</v>
      </c>
      <c r="J223" s="198">
        <v>8800000</v>
      </c>
      <c r="K223" s="607" t="s">
        <v>299</v>
      </c>
      <c r="L223" s="608" t="s">
        <v>315</v>
      </c>
      <c r="M223" s="609">
        <v>5</v>
      </c>
      <c r="N223" s="609" t="s">
        <v>313</v>
      </c>
      <c r="O223" s="610" t="s">
        <v>317</v>
      </c>
      <c r="P223" s="198">
        <f>J223*M223</f>
        <v>44000000</v>
      </c>
      <c r="Q223" s="611" t="s">
        <v>299</v>
      </c>
    </row>
    <row r="224" spans="1:18" ht="17.45" customHeight="1">
      <c r="A224" s="396"/>
      <c r="B224" s="263"/>
      <c r="C224" s="612" t="s">
        <v>39</v>
      </c>
      <c r="D224" s="604">
        <v>40000</v>
      </c>
      <c r="E224" s="487">
        <f t="shared" si="11"/>
        <v>40000</v>
      </c>
      <c r="F224" s="605"/>
      <c r="G224" s="489">
        <f t="shared" si="13"/>
        <v>0</v>
      </c>
      <c r="H224" s="490">
        <f t="shared" si="12"/>
        <v>0</v>
      </c>
      <c r="I224" s="606" t="s">
        <v>56</v>
      </c>
      <c r="J224" s="215">
        <v>10000000</v>
      </c>
      <c r="K224" s="613" t="s">
        <v>299</v>
      </c>
      <c r="L224" s="614" t="s">
        <v>315</v>
      </c>
      <c r="M224" s="615">
        <v>4</v>
      </c>
      <c r="N224" s="615" t="s">
        <v>313</v>
      </c>
      <c r="O224" s="616" t="s">
        <v>317</v>
      </c>
      <c r="P224" s="215">
        <f t="shared" ref="P224:P286" si="14">J224*M224</f>
        <v>40000000</v>
      </c>
      <c r="Q224" s="617" t="s">
        <v>299</v>
      </c>
    </row>
    <row r="225" spans="1:18" ht="17.45" customHeight="1">
      <c r="A225" s="396"/>
      <c r="B225" s="263"/>
      <c r="C225" s="603" t="s">
        <v>191</v>
      </c>
      <c r="D225" s="487">
        <v>55000</v>
      </c>
      <c r="E225" s="487">
        <f t="shared" si="11"/>
        <v>58999.999980000008</v>
      </c>
      <c r="F225" s="605"/>
      <c r="G225" s="489">
        <f t="shared" si="13"/>
        <v>3999.9999800000078</v>
      </c>
      <c r="H225" s="490">
        <f t="shared" si="12"/>
        <v>7.2727272363636501</v>
      </c>
      <c r="I225" s="606" t="s">
        <v>395</v>
      </c>
      <c r="J225" s="215">
        <v>9833333.3300000001</v>
      </c>
      <c r="K225" s="613" t="s">
        <v>299</v>
      </c>
      <c r="L225" s="614" t="s">
        <v>315</v>
      </c>
      <c r="M225" s="615">
        <v>6</v>
      </c>
      <c r="N225" s="615" t="s">
        <v>313</v>
      </c>
      <c r="O225" s="616" t="s">
        <v>317</v>
      </c>
      <c r="P225" s="215">
        <f t="shared" si="14"/>
        <v>58999999.980000004</v>
      </c>
      <c r="Q225" s="617" t="s">
        <v>299</v>
      </c>
    </row>
    <row r="226" spans="1:18" ht="17.45" customHeight="1">
      <c r="A226" s="396"/>
      <c r="B226" s="199"/>
      <c r="C226" s="603" t="s">
        <v>193</v>
      </c>
      <c r="D226" s="604">
        <v>61000</v>
      </c>
      <c r="E226" s="487">
        <f t="shared" si="11"/>
        <v>63999.999960000001</v>
      </c>
      <c r="F226" s="605"/>
      <c r="G226" s="489">
        <f t="shared" si="13"/>
        <v>2999.999960000001</v>
      </c>
      <c r="H226" s="490">
        <f t="shared" si="12"/>
        <v>4.9180327213114774</v>
      </c>
      <c r="I226" s="606" t="s">
        <v>395</v>
      </c>
      <c r="J226" s="215">
        <v>10666666.66</v>
      </c>
      <c r="K226" s="613" t="s">
        <v>299</v>
      </c>
      <c r="L226" s="614" t="s">
        <v>315</v>
      </c>
      <c r="M226" s="615">
        <v>6</v>
      </c>
      <c r="N226" s="615" t="s">
        <v>313</v>
      </c>
      <c r="O226" s="616" t="s">
        <v>317</v>
      </c>
      <c r="P226" s="215">
        <f t="shared" si="14"/>
        <v>63999999.960000001</v>
      </c>
      <c r="Q226" s="617" t="s">
        <v>299</v>
      </c>
    </row>
    <row r="227" spans="1:18" ht="17.45" customHeight="1">
      <c r="A227" s="396"/>
      <c r="B227" s="199"/>
      <c r="C227" s="603" t="s">
        <v>133</v>
      </c>
      <c r="D227" s="487">
        <v>58000</v>
      </c>
      <c r="E227" s="487">
        <f t="shared" si="11"/>
        <v>58000</v>
      </c>
      <c r="F227" s="605"/>
      <c r="G227" s="489">
        <f t="shared" si="13"/>
        <v>0</v>
      </c>
      <c r="H227" s="490">
        <f t="shared" si="12"/>
        <v>0</v>
      </c>
      <c r="I227" s="606" t="s">
        <v>56</v>
      </c>
      <c r="J227" s="215">
        <v>14500000</v>
      </c>
      <c r="K227" s="613" t="s">
        <v>299</v>
      </c>
      <c r="L227" s="614" t="s">
        <v>315</v>
      </c>
      <c r="M227" s="615">
        <v>4</v>
      </c>
      <c r="N227" s="615" t="s">
        <v>313</v>
      </c>
      <c r="O227" s="616" t="s">
        <v>317</v>
      </c>
      <c r="P227" s="215">
        <f t="shared" si="14"/>
        <v>58000000</v>
      </c>
      <c r="Q227" s="617" t="s">
        <v>299</v>
      </c>
    </row>
    <row r="228" spans="1:18" ht="17.45" customHeight="1">
      <c r="A228" s="171"/>
      <c r="B228" s="263"/>
      <c r="C228" s="618" t="s">
        <v>233</v>
      </c>
      <c r="D228" s="619">
        <v>36000</v>
      </c>
      <c r="E228" s="620">
        <f t="shared" si="11"/>
        <v>39000</v>
      </c>
      <c r="F228" s="621"/>
      <c r="G228" s="521">
        <f t="shared" si="13"/>
        <v>3000</v>
      </c>
      <c r="H228" s="549">
        <f t="shared" si="12"/>
        <v>8.3333333333333321</v>
      </c>
      <c r="I228" s="606" t="s">
        <v>395</v>
      </c>
      <c r="J228" s="215">
        <v>7800000</v>
      </c>
      <c r="K228" s="613" t="s">
        <v>299</v>
      </c>
      <c r="L228" s="614" t="s">
        <v>315</v>
      </c>
      <c r="M228" s="615">
        <v>5</v>
      </c>
      <c r="N228" s="615" t="s">
        <v>313</v>
      </c>
      <c r="O228" s="616" t="s">
        <v>317</v>
      </c>
      <c r="P228" s="215">
        <f t="shared" si="14"/>
        <v>39000000</v>
      </c>
      <c r="Q228" s="617" t="s">
        <v>299</v>
      </c>
    </row>
    <row r="229" spans="1:18" ht="17.45" customHeight="1">
      <c r="A229" s="513"/>
      <c r="B229" s="263"/>
      <c r="C229" s="603" t="s">
        <v>167</v>
      </c>
      <c r="D229" s="604">
        <v>48000</v>
      </c>
      <c r="E229" s="487">
        <f t="shared" si="11"/>
        <v>48000</v>
      </c>
      <c r="F229" s="605"/>
      <c r="G229" s="489">
        <f t="shared" si="13"/>
        <v>0</v>
      </c>
      <c r="H229" s="490">
        <f t="shared" si="12"/>
        <v>0</v>
      </c>
      <c r="I229" s="606" t="s">
        <v>395</v>
      </c>
      <c r="J229" s="215">
        <v>9600000</v>
      </c>
      <c r="K229" s="613" t="s">
        <v>299</v>
      </c>
      <c r="L229" s="614" t="s">
        <v>315</v>
      </c>
      <c r="M229" s="615">
        <v>5</v>
      </c>
      <c r="N229" s="615" t="s">
        <v>313</v>
      </c>
      <c r="O229" s="616" t="s">
        <v>317</v>
      </c>
      <c r="P229" s="215">
        <f t="shared" si="14"/>
        <v>48000000</v>
      </c>
      <c r="Q229" s="617" t="s">
        <v>299</v>
      </c>
    </row>
    <row r="230" spans="1:18" ht="17.45" customHeight="1">
      <c r="A230" s="396"/>
      <c r="B230" s="199"/>
      <c r="C230" s="618" t="s">
        <v>138</v>
      </c>
      <c r="D230" s="619">
        <v>40000</v>
      </c>
      <c r="E230" s="620">
        <f t="shared" si="11"/>
        <v>40000</v>
      </c>
      <c r="F230" s="621"/>
      <c r="G230" s="521">
        <f t="shared" si="13"/>
        <v>0</v>
      </c>
      <c r="H230" s="549">
        <f t="shared" si="12"/>
        <v>0</v>
      </c>
      <c r="I230" s="606" t="s">
        <v>56</v>
      </c>
      <c r="J230" s="215">
        <v>10000000</v>
      </c>
      <c r="K230" s="613" t="s">
        <v>299</v>
      </c>
      <c r="L230" s="614" t="s">
        <v>315</v>
      </c>
      <c r="M230" s="615">
        <v>4</v>
      </c>
      <c r="N230" s="615" t="s">
        <v>313</v>
      </c>
      <c r="O230" s="616" t="s">
        <v>317</v>
      </c>
      <c r="P230" s="215">
        <f t="shared" si="14"/>
        <v>40000000</v>
      </c>
      <c r="Q230" s="617" t="s">
        <v>299</v>
      </c>
    </row>
    <row r="231" spans="1:18" ht="18" customHeight="1">
      <c r="A231" s="396"/>
      <c r="B231" s="199"/>
      <c r="C231" s="603" t="s">
        <v>291</v>
      </c>
      <c r="D231" s="604">
        <v>60000</v>
      </c>
      <c r="E231" s="487">
        <f t="shared" si="11"/>
        <v>60000</v>
      </c>
      <c r="F231" s="605"/>
      <c r="G231" s="489">
        <f t="shared" si="13"/>
        <v>0</v>
      </c>
      <c r="H231" s="490">
        <f t="shared" si="12"/>
        <v>0</v>
      </c>
      <c r="I231" s="606" t="s">
        <v>56</v>
      </c>
      <c r="J231" s="215">
        <v>15000000</v>
      </c>
      <c r="K231" s="613" t="s">
        <v>299</v>
      </c>
      <c r="L231" s="614" t="s">
        <v>315</v>
      </c>
      <c r="M231" s="615">
        <v>4</v>
      </c>
      <c r="N231" s="615" t="s">
        <v>313</v>
      </c>
      <c r="O231" s="616" t="s">
        <v>317</v>
      </c>
      <c r="P231" s="215">
        <f t="shared" si="14"/>
        <v>60000000</v>
      </c>
      <c r="Q231" s="617" t="s">
        <v>299</v>
      </c>
    </row>
    <row r="232" spans="1:18" ht="17.45" customHeight="1">
      <c r="A232" s="396"/>
      <c r="B232" s="199"/>
      <c r="C232" s="612" t="s">
        <v>266</v>
      </c>
      <c r="D232" s="487">
        <v>412575.99995999999</v>
      </c>
      <c r="E232" s="487">
        <f t="shared" si="11"/>
        <v>452429.99998000002</v>
      </c>
      <c r="F232" s="605"/>
      <c r="G232" s="489">
        <f>+E232-D232</f>
        <v>39854.000020000036</v>
      </c>
      <c r="H232" s="490">
        <f t="shared" si="12"/>
        <v>9.659796019124709</v>
      </c>
      <c r="I232" s="606" t="s">
        <v>395</v>
      </c>
      <c r="J232" s="215">
        <v>64632857.140000001</v>
      </c>
      <c r="K232" s="613" t="s">
        <v>299</v>
      </c>
      <c r="L232" s="614" t="s">
        <v>315</v>
      </c>
      <c r="M232" s="615">
        <v>7</v>
      </c>
      <c r="N232" s="615" t="s">
        <v>313</v>
      </c>
      <c r="O232" s="616" t="s">
        <v>317</v>
      </c>
      <c r="P232" s="215">
        <f t="shared" si="14"/>
        <v>452429999.98000002</v>
      </c>
      <c r="Q232" s="617" t="s">
        <v>299</v>
      </c>
      <c r="R232" s="622"/>
    </row>
    <row r="233" spans="1:18" ht="17.45" customHeight="1">
      <c r="A233" s="513" t="s">
        <v>324</v>
      </c>
      <c r="B233" s="263" t="s">
        <v>324</v>
      </c>
      <c r="C233" s="603" t="s">
        <v>85</v>
      </c>
      <c r="D233" s="604">
        <v>40000</v>
      </c>
      <c r="E233" s="487">
        <f t="shared" si="11"/>
        <v>40000</v>
      </c>
      <c r="F233" s="605"/>
      <c r="G233" s="489">
        <f>E233-D233</f>
        <v>0</v>
      </c>
      <c r="H233" s="490">
        <f t="shared" si="12"/>
        <v>0</v>
      </c>
      <c r="I233" s="606" t="s">
        <v>56</v>
      </c>
      <c r="J233" s="215">
        <v>10000000</v>
      </c>
      <c r="K233" s="613" t="s">
        <v>299</v>
      </c>
      <c r="L233" s="614" t="s">
        <v>315</v>
      </c>
      <c r="M233" s="615">
        <v>4</v>
      </c>
      <c r="N233" s="615" t="s">
        <v>313</v>
      </c>
      <c r="O233" s="616" t="s">
        <v>317</v>
      </c>
      <c r="P233" s="215">
        <f t="shared" si="14"/>
        <v>40000000</v>
      </c>
      <c r="Q233" s="623" t="s">
        <v>299</v>
      </c>
    </row>
    <row r="234" spans="1:18" ht="17.45" customHeight="1">
      <c r="A234" s="513"/>
      <c r="B234" s="263"/>
      <c r="C234" s="624" t="s">
        <v>465</v>
      </c>
      <c r="D234" s="620">
        <v>15000</v>
      </c>
      <c r="E234" s="620">
        <f t="shared" si="11"/>
        <v>15000</v>
      </c>
      <c r="F234" s="621"/>
      <c r="G234" s="521">
        <f>+E234-D234</f>
        <v>0</v>
      </c>
      <c r="H234" s="549">
        <f t="shared" si="12"/>
        <v>0</v>
      </c>
      <c r="I234" s="606" t="s">
        <v>56</v>
      </c>
      <c r="J234" s="215">
        <v>3750000</v>
      </c>
      <c r="K234" s="613" t="s">
        <v>299</v>
      </c>
      <c r="L234" s="614" t="s">
        <v>315</v>
      </c>
      <c r="M234" s="615">
        <v>4</v>
      </c>
      <c r="N234" s="615" t="s">
        <v>313</v>
      </c>
      <c r="O234" s="616" t="s">
        <v>317</v>
      </c>
      <c r="P234" s="215">
        <f t="shared" si="14"/>
        <v>15000000</v>
      </c>
      <c r="Q234" s="617" t="s">
        <v>299</v>
      </c>
      <c r="R234" s="622"/>
    </row>
    <row r="235" spans="1:18" ht="17.45" customHeight="1">
      <c r="A235" s="396"/>
      <c r="B235" s="199"/>
      <c r="C235" s="612" t="s">
        <v>461</v>
      </c>
      <c r="D235" s="487">
        <v>28000</v>
      </c>
      <c r="E235" s="487">
        <f t="shared" si="11"/>
        <v>28000</v>
      </c>
      <c r="F235" s="605"/>
      <c r="G235" s="489">
        <f>E235-D235</f>
        <v>0</v>
      </c>
      <c r="H235" s="490">
        <f>+G235/D235*100</f>
        <v>0</v>
      </c>
      <c r="I235" s="606" t="s">
        <v>56</v>
      </c>
      <c r="J235" s="215">
        <v>7000000</v>
      </c>
      <c r="K235" s="613" t="s">
        <v>299</v>
      </c>
      <c r="L235" s="614" t="s">
        <v>315</v>
      </c>
      <c r="M235" s="615">
        <v>4</v>
      </c>
      <c r="N235" s="615" t="s">
        <v>313</v>
      </c>
      <c r="O235" s="616" t="s">
        <v>317</v>
      </c>
      <c r="P235" s="215">
        <f t="shared" si="14"/>
        <v>28000000</v>
      </c>
      <c r="Q235" s="617" t="s">
        <v>299</v>
      </c>
    </row>
    <row r="236" spans="1:18" ht="17.45" customHeight="1">
      <c r="A236" s="396"/>
      <c r="B236" s="199"/>
      <c r="C236" s="612" t="s">
        <v>455</v>
      </c>
      <c r="D236" s="487">
        <v>2000</v>
      </c>
      <c r="E236" s="487">
        <f t="shared" si="11"/>
        <v>2000</v>
      </c>
      <c r="F236" s="605"/>
      <c r="G236" s="489">
        <f>E236-D236</f>
        <v>0</v>
      </c>
      <c r="H236" s="490">
        <f>+G236/D236*100</f>
        <v>0</v>
      </c>
      <c r="I236" s="606" t="s">
        <v>56</v>
      </c>
      <c r="J236" s="215">
        <v>500000</v>
      </c>
      <c r="K236" s="613" t="s">
        <v>299</v>
      </c>
      <c r="L236" s="614" t="s">
        <v>315</v>
      </c>
      <c r="M236" s="615">
        <v>4</v>
      </c>
      <c r="N236" s="615" t="s">
        <v>313</v>
      </c>
      <c r="O236" s="616" t="s">
        <v>317</v>
      </c>
      <c r="P236" s="215">
        <f t="shared" si="14"/>
        <v>2000000</v>
      </c>
      <c r="Q236" s="617" t="s">
        <v>299</v>
      </c>
    </row>
    <row r="237" spans="1:18" ht="17.45" customHeight="1">
      <c r="A237" s="396"/>
      <c r="B237" s="199"/>
      <c r="C237" s="603" t="s">
        <v>149</v>
      </c>
      <c r="D237" s="487">
        <v>22260.16</v>
      </c>
      <c r="E237" s="487">
        <f t="shared" si="11"/>
        <v>22260.16</v>
      </c>
      <c r="F237" s="605"/>
      <c r="G237" s="489">
        <f t="shared" ref="G237:G242" si="15">+E237-D237</f>
        <v>0</v>
      </c>
      <c r="H237" s="490">
        <f>+G237/D237*100</f>
        <v>0</v>
      </c>
      <c r="I237" s="625" t="s">
        <v>405</v>
      </c>
      <c r="J237" s="215">
        <v>4452032</v>
      </c>
      <c r="K237" s="613" t="s">
        <v>299</v>
      </c>
      <c r="L237" s="614" t="s">
        <v>315</v>
      </c>
      <c r="M237" s="615">
        <v>5</v>
      </c>
      <c r="N237" s="615" t="s">
        <v>313</v>
      </c>
      <c r="O237" s="616" t="s">
        <v>317</v>
      </c>
      <c r="P237" s="215">
        <f t="shared" si="14"/>
        <v>22260160</v>
      </c>
      <c r="Q237" s="617" t="s">
        <v>299</v>
      </c>
      <c r="R237" s="622"/>
    </row>
    <row r="238" spans="1:18" ht="17.45" customHeight="1">
      <c r="A238" s="396"/>
      <c r="B238" s="199"/>
      <c r="C238" s="626" t="s">
        <v>210</v>
      </c>
      <c r="D238" s="562">
        <v>2400</v>
      </c>
      <c r="E238" s="487">
        <f t="shared" si="11"/>
        <v>1800</v>
      </c>
      <c r="F238" s="627"/>
      <c r="G238" s="489">
        <f t="shared" si="15"/>
        <v>-600</v>
      </c>
      <c r="H238" s="490">
        <f>+G238/D238*100</f>
        <v>-25</v>
      </c>
      <c r="I238" s="606" t="s">
        <v>56</v>
      </c>
      <c r="J238" s="215">
        <v>1800000</v>
      </c>
      <c r="K238" s="613" t="s">
        <v>299</v>
      </c>
      <c r="L238" s="614" t="s">
        <v>315</v>
      </c>
      <c r="M238" s="615">
        <v>1</v>
      </c>
      <c r="N238" s="615" t="s">
        <v>313</v>
      </c>
      <c r="O238" s="616" t="s">
        <v>317</v>
      </c>
      <c r="P238" s="215">
        <f t="shared" si="14"/>
        <v>1800000</v>
      </c>
      <c r="Q238" s="617" t="s">
        <v>299</v>
      </c>
      <c r="R238" s="622"/>
    </row>
    <row r="239" spans="1:18" ht="17.45" customHeight="1">
      <c r="A239" s="396"/>
      <c r="B239" s="199"/>
      <c r="C239" s="626" t="s">
        <v>158</v>
      </c>
      <c r="D239" s="562">
        <v>2400</v>
      </c>
      <c r="E239" s="487">
        <f t="shared" si="11"/>
        <v>2400</v>
      </c>
      <c r="F239" s="627"/>
      <c r="G239" s="489">
        <f t="shared" si="15"/>
        <v>0</v>
      </c>
      <c r="H239" s="490">
        <f>+G239/D239*100</f>
        <v>0</v>
      </c>
      <c r="I239" s="606" t="s">
        <v>56</v>
      </c>
      <c r="J239" s="215">
        <v>2400000</v>
      </c>
      <c r="K239" s="613" t="s">
        <v>299</v>
      </c>
      <c r="L239" s="614" t="s">
        <v>315</v>
      </c>
      <c r="M239" s="615">
        <v>1</v>
      </c>
      <c r="N239" s="615" t="s">
        <v>313</v>
      </c>
      <c r="O239" s="616" t="s">
        <v>317</v>
      </c>
      <c r="P239" s="215">
        <f t="shared" si="14"/>
        <v>2400000</v>
      </c>
      <c r="Q239" s="617" t="s">
        <v>299</v>
      </c>
      <c r="R239" s="622"/>
    </row>
    <row r="240" spans="1:18" ht="17.45" customHeight="1">
      <c r="A240" s="396"/>
      <c r="B240" s="199"/>
      <c r="C240" s="603" t="s">
        <v>159</v>
      </c>
      <c r="D240" s="487">
        <v>3300</v>
      </c>
      <c r="E240" s="487">
        <f t="shared" si="11"/>
        <v>3000</v>
      </c>
      <c r="F240" s="605"/>
      <c r="G240" s="489">
        <f t="shared" si="15"/>
        <v>-300</v>
      </c>
      <c r="H240" s="490">
        <f>G240/D240*100</f>
        <v>-9.0909090909090917</v>
      </c>
      <c r="I240" s="606" t="s">
        <v>56</v>
      </c>
      <c r="J240" s="215">
        <v>3000000</v>
      </c>
      <c r="K240" s="613" t="s">
        <v>299</v>
      </c>
      <c r="L240" s="614" t="s">
        <v>315</v>
      </c>
      <c r="M240" s="615">
        <v>1</v>
      </c>
      <c r="N240" s="615" t="s">
        <v>313</v>
      </c>
      <c r="O240" s="616" t="s">
        <v>317</v>
      </c>
      <c r="P240" s="215">
        <f t="shared" si="14"/>
        <v>3000000</v>
      </c>
      <c r="Q240" s="617" t="s">
        <v>299</v>
      </c>
      <c r="R240" s="622"/>
    </row>
    <row r="241" spans="1:18" ht="17.45" customHeight="1">
      <c r="A241" s="513"/>
      <c r="B241" s="263"/>
      <c r="C241" s="628" t="s">
        <v>223</v>
      </c>
      <c r="D241" s="584">
        <v>1200</v>
      </c>
      <c r="E241" s="620">
        <f t="shared" si="11"/>
        <v>1200</v>
      </c>
      <c r="F241" s="584" t="e">
        <f>Q241/1000</f>
        <v>#VALUE!</v>
      </c>
      <c r="G241" s="521">
        <f t="shared" si="15"/>
        <v>0</v>
      </c>
      <c r="H241" s="549">
        <f>G241/D241*100</f>
        <v>0</v>
      </c>
      <c r="I241" s="606" t="s">
        <v>56</v>
      </c>
      <c r="J241" s="215">
        <v>1200000</v>
      </c>
      <c r="K241" s="613" t="s">
        <v>299</v>
      </c>
      <c r="L241" s="614" t="s">
        <v>315</v>
      </c>
      <c r="M241" s="615">
        <v>1</v>
      </c>
      <c r="N241" s="615" t="s">
        <v>313</v>
      </c>
      <c r="O241" s="616" t="s">
        <v>317</v>
      </c>
      <c r="P241" s="215">
        <f t="shared" si="14"/>
        <v>1200000</v>
      </c>
      <c r="Q241" s="617" t="s">
        <v>299</v>
      </c>
      <c r="R241" s="622"/>
    </row>
    <row r="242" spans="1:18" ht="17.45" customHeight="1">
      <c r="A242" s="396"/>
      <c r="B242" s="199"/>
      <c r="C242" s="626" t="s">
        <v>146</v>
      </c>
      <c r="D242" s="562">
        <v>2700</v>
      </c>
      <c r="E242" s="487">
        <f t="shared" si="11"/>
        <v>2700</v>
      </c>
      <c r="F242" s="562"/>
      <c r="G242" s="489">
        <f t="shared" si="15"/>
        <v>0</v>
      </c>
      <c r="H242" s="490">
        <f>G242/D242*100</f>
        <v>0</v>
      </c>
      <c r="I242" s="606" t="s">
        <v>56</v>
      </c>
      <c r="J242" s="215">
        <v>2700000</v>
      </c>
      <c r="K242" s="613" t="s">
        <v>299</v>
      </c>
      <c r="L242" s="614" t="s">
        <v>315</v>
      </c>
      <c r="M242" s="615">
        <v>1</v>
      </c>
      <c r="N242" s="615" t="s">
        <v>313</v>
      </c>
      <c r="O242" s="616" t="s">
        <v>317</v>
      </c>
      <c r="P242" s="215">
        <f t="shared" si="14"/>
        <v>2700000</v>
      </c>
      <c r="Q242" s="617" t="s">
        <v>299</v>
      </c>
      <c r="R242" s="622"/>
    </row>
    <row r="243" spans="1:18" ht="17.45" customHeight="1">
      <c r="A243" s="578"/>
      <c r="B243" s="579"/>
      <c r="C243" s="612" t="s">
        <v>32</v>
      </c>
      <c r="D243" s="562">
        <v>2700</v>
      </c>
      <c r="E243" s="487">
        <f t="shared" ref="E243:E250" si="16">P243/1000</f>
        <v>2700</v>
      </c>
      <c r="F243" s="605"/>
      <c r="G243" s="489">
        <f t="shared" ref="G243:G250" si="17">+E243-D243</f>
        <v>0</v>
      </c>
      <c r="H243" s="490">
        <f>G243/D243*100</f>
        <v>0</v>
      </c>
      <c r="I243" s="606" t="s">
        <v>56</v>
      </c>
      <c r="J243" s="215">
        <v>2700000</v>
      </c>
      <c r="K243" s="613" t="s">
        <v>299</v>
      </c>
      <c r="L243" s="614" t="s">
        <v>315</v>
      </c>
      <c r="M243" s="615">
        <v>1</v>
      </c>
      <c r="N243" s="615" t="s">
        <v>313</v>
      </c>
      <c r="O243" s="616" t="s">
        <v>317</v>
      </c>
      <c r="P243" s="215">
        <f t="shared" si="14"/>
        <v>2700000</v>
      </c>
      <c r="Q243" s="617" t="s">
        <v>299</v>
      </c>
      <c r="R243" s="622"/>
    </row>
    <row r="244" spans="1:18" ht="17.45" customHeight="1">
      <c r="A244" s="396"/>
      <c r="B244" s="199"/>
      <c r="C244" s="628" t="s">
        <v>215</v>
      </c>
      <c r="D244" s="562">
        <v>2100</v>
      </c>
      <c r="E244" s="620">
        <f t="shared" si="16"/>
        <v>2100</v>
      </c>
      <c r="F244" s="629"/>
      <c r="G244" s="521">
        <f t="shared" si="17"/>
        <v>0</v>
      </c>
      <c r="H244" s="549">
        <f>+G244/D244*100</f>
        <v>0</v>
      </c>
      <c r="I244" s="606" t="s">
        <v>56</v>
      </c>
      <c r="J244" s="215">
        <v>2100000</v>
      </c>
      <c r="K244" s="613" t="s">
        <v>299</v>
      </c>
      <c r="L244" s="614" t="s">
        <v>315</v>
      </c>
      <c r="M244" s="615">
        <v>1</v>
      </c>
      <c r="N244" s="615" t="s">
        <v>313</v>
      </c>
      <c r="O244" s="616" t="s">
        <v>317</v>
      </c>
      <c r="P244" s="215">
        <f t="shared" si="14"/>
        <v>2100000</v>
      </c>
      <c r="Q244" s="617" t="s">
        <v>299</v>
      </c>
      <c r="R244" s="622"/>
    </row>
    <row r="245" spans="1:18" ht="17.45" customHeight="1">
      <c r="A245" s="396"/>
      <c r="B245" s="199"/>
      <c r="C245" s="630" t="s">
        <v>27</v>
      </c>
      <c r="D245" s="562">
        <v>3000</v>
      </c>
      <c r="E245" s="487">
        <f t="shared" si="16"/>
        <v>3000</v>
      </c>
      <c r="F245" s="627"/>
      <c r="G245" s="489">
        <f t="shared" si="17"/>
        <v>0</v>
      </c>
      <c r="H245" s="549">
        <f>+G245/D245*100</f>
        <v>0</v>
      </c>
      <c r="I245" s="606" t="s">
        <v>56</v>
      </c>
      <c r="J245" s="215">
        <v>3000000</v>
      </c>
      <c r="K245" s="613" t="s">
        <v>299</v>
      </c>
      <c r="L245" s="614" t="s">
        <v>315</v>
      </c>
      <c r="M245" s="615">
        <v>1</v>
      </c>
      <c r="N245" s="615" t="s">
        <v>313</v>
      </c>
      <c r="O245" s="616" t="s">
        <v>317</v>
      </c>
      <c r="P245" s="215">
        <f t="shared" si="14"/>
        <v>3000000</v>
      </c>
      <c r="Q245" s="617" t="s">
        <v>299</v>
      </c>
      <c r="R245" s="622"/>
    </row>
    <row r="246" spans="1:18" ht="17.45" customHeight="1">
      <c r="A246" s="396"/>
      <c r="B246" s="199"/>
      <c r="C246" s="626" t="s">
        <v>124</v>
      </c>
      <c r="D246" s="562">
        <v>2700</v>
      </c>
      <c r="E246" s="487">
        <f t="shared" si="16"/>
        <v>3000</v>
      </c>
      <c r="F246" s="605"/>
      <c r="G246" s="489">
        <f t="shared" si="17"/>
        <v>300</v>
      </c>
      <c r="H246" s="549">
        <f>+G246/D246*100</f>
        <v>11.111111111111111</v>
      </c>
      <c r="I246" s="606" t="s">
        <v>56</v>
      </c>
      <c r="J246" s="215">
        <v>3000000</v>
      </c>
      <c r="K246" s="613" t="s">
        <v>299</v>
      </c>
      <c r="L246" s="614" t="s">
        <v>315</v>
      </c>
      <c r="M246" s="615">
        <v>1</v>
      </c>
      <c r="N246" s="615" t="s">
        <v>313</v>
      </c>
      <c r="O246" s="616" t="s">
        <v>317</v>
      </c>
      <c r="P246" s="215">
        <f t="shared" si="14"/>
        <v>3000000</v>
      </c>
      <c r="Q246" s="617" t="s">
        <v>299</v>
      </c>
      <c r="R246" s="622"/>
    </row>
    <row r="247" spans="1:18" ht="17.45" customHeight="1">
      <c r="A247" s="396"/>
      <c r="B247" s="199"/>
      <c r="C247" s="626" t="s">
        <v>135</v>
      </c>
      <c r="D247" s="562">
        <v>2400</v>
      </c>
      <c r="E247" s="487">
        <f t="shared" si="16"/>
        <v>1800</v>
      </c>
      <c r="F247" s="627"/>
      <c r="G247" s="489">
        <f t="shared" si="17"/>
        <v>-600</v>
      </c>
      <c r="H247" s="549">
        <f>+G247/D247*100</f>
        <v>-25</v>
      </c>
      <c r="I247" s="606" t="s">
        <v>56</v>
      </c>
      <c r="J247" s="215">
        <v>1800000</v>
      </c>
      <c r="K247" s="613" t="s">
        <v>299</v>
      </c>
      <c r="L247" s="614" t="s">
        <v>315</v>
      </c>
      <c r="M247" s="615">
        <v>1</v>
      </c>
      <c r="N247" s="615" t="s">
        <v>313</v>
      </c>
      <c r="O247" s="616" t="s">
        <v>317</v>
      </c>
      <c r="P247" s="215">
        <f t="shared" si="14"/>
        <v>1800000</v>
      </c>
      <c r="Q247" s="617" t="s">
        <v>299</v>
      </c>
      <c r="R247" s="622"/>
    </row>
    <row r="248" spans="1:18" ht="17.45" customHeight="1">
      <c r="A248" s="396"/>
      <c r="B248" s="199"/>
      <c r="C248" s="626" t="s">
        <v>208</v>
      </c>
      <c r="D248" s="562">
        <v>7700</v>
      </c>
      <c r="E248" s="487">
        <f t="shared" si="16"/>
        <v>7700</v>
      </c>
      <c r="F248" s="627"/>
      <c r="G248" s="489">
        <f t="shared" si="17"/>
        <v>0</v>
      </c>
      <c r="H248" s="490">
        <f>G248/D248*100</f>
        <v>0</v>
      </c>
      <c r="I248" s="606" t="s">
        <v>395</v>
      </c>
      <c r="J248" s="215">
        <v>3850000</v>
      </c>
      <c r="K248" s="613" t="s">
        <v>299</v>
      </c>
      <c r="L248" s="614" t="s">
        <v>315</v>
      </c>
      <c r="M248" s="615">
        <v>2</v>
      </c>
      <c r="N248" s="615" t="s">
        <v>313</v>
      </c>
      <c r="O248" s="616" t="s">
        <v>317</v>
      </c>
      <c r="P248" s="215">
        <f t="shared" si="14"/>
        <v>7700000</v>
      </c>
      <c r="Q248" s="617" t="s">
        <v>299</v>
      </c>
      <c r="R248" s="622"/>
    </row>
    <row r="249" spans="1:18" ht="17.45" customHeight="1">
      <c r="A249" s="396"/>
      <c r="B249" s="199"/>
      <c r="C249" s="603" t="s">
        <v>237</v>
      </c>
      <c r="D249" s="562">
        <v>4143.01</v>
      </c>
      <c r="E249" s="487">
        <f t="shared" si="16"/>
        <v>3543.01</v>
      </c>
      <c r="F249" s="605"/>
      <c r="G249" s="489">
        <f t="shared" si="17"/>
        <v>-600</v>
      </c>
      <c r="H249" s="490">
        <f>G249/D249*100</f>
        <v>-14.482224276552556</v>
      </c>
      <c r="I249" s="625" t="s">
        <v>405</v>
      </c>
      <c r="J249" s="215">
        <v>1771505</v>
      </c>
      <c r="K249" s="613" t="s">
        <v>299</v>
      </c>
      <c r="L249" s="614" t="s">
        <v>315</v>
      </c>
      <c r="M249" s="615">
        <v>2</v>
      </c>
      <c r="N249" s="615" t="s">
        <v>313</v>
      </c>
      <c r="O249" s="616" t="s">
        <v>317</v>
      </c>
      <c r="P249" s="215">
        <f t="shared" si="14"/>
        <v>3543010</v>
      </c>
      <c r="Q249" s="617" t="s">
        <v>299</v>
      </c>
      <c r="R249" s="622"/>
    </row>
    <row r="250" spans="1:18" ht="17.45" customHeight="1">
      <c r="A250" s="396"/>
      <c r="B250" s="199"/>
      <c r="C250" s="624" t="s">
        <v>38</v>
      </c>
      <c r="D250" s="562">
        <v>3600</v>
      </c>
      <c r="E250" s="487">
        <f t="shared" si="16"/>
        <v>3600</v>
      </c>
      <c r="F250" s="621"/>
      <c r="G250" s="489">
        <f t="shared" si="17"/>
        <v>0</v>
      </c>
      <c r="H250" s="490">
        <f>G250/D250*100</f>
        <v>0</v>
      </c>
      <c r="I250" s="606" t="s">
        <v>56</v>
      </c>
      <c r="J250" s="215">
        <v>3600000</v>
      </c>
      <c r="K250" s="613" t="s">
        <v>299</v>
      </c>
      <c r="L250" s="614" t="s">
        <v>315</v>
      </c>
      <c r="M250" s="615">
        <v>1</v>
      </c>
      <c r="N250" s="615" t="s">
        <v>313</v>
      </c>
      <c r="O250" s="616" t="s">
        <v>317</v>
      </c>
      <c r="P250" s="215">
        <f t="shared" si="14"/>
        <v>3600000</v>
      </c>
      <c r="Q250" s="617" t="s">
        <v>299</v>
      </c>
      <c r="R250" s="622"/>
    </row>
    <row r="251" spans="1:18" ht="17.45" customHeight="1">
      <c r="A251" s="396"/>
      <c r="B251" s="199"/>
      <c r="C251" s="612" t="s">
        <v>23</v>
      </c>
      <c r="D251" s="487">
        <v>5000</v>
      </c>
      <c r="E251" s="487">
        <f t="shared" ref="E251:E266" si="18">P251/1000</f>
        <v>5000</v>
      </c>
      <c r="F251" s="605"/>
      <c r="G251" s="489">
        <f t="shared" ref="G251:G268" si="19">+E251-D251</f>
        <v>0</v>
      </c>
      <c r="H251" s="490">
        <f t="shared" ref="H251:H266" si="20">+G251/D251*100</f>
        <v>0</v>
      </c>
      <c r="I251" s="606" t="s">
        <v>56</v>
      </c>
      <c r="J251" s="215">
        <v>5000000</v>
      </c>
      <c r="K251" s="613" t="s">
        <v>299</v>
      </c>
      <c r="L251" s="614" t="s">
        <v>315</v>
      </c>
      <c r="M251" s="615">
        <v>1</v>
      </c>
      <c r="N251" s="615" t="s">
        <v>313</v>
      </c>
      <c r="O251" s="616" t="s">
        <v>317</v>
      </c>
      <c r="P251" s="215">
        <f t="shared" si="14"/>
        <v>5000000</v>
      </c>
      <c r="Q251" s="617" t="s">
        <v>299</v>
      </c>
    </row>
    <row r="252" spans="1:18" ht="17.45" customHeight="1">
      <c r="A252" s="396"/>
      <c r="B252" s="199"/>
      <c r="C252" s="603" t="s">
        <v>83</v>
      </c>
      <c r="D252" s="487">
        <v>5000</v>
      </c>
      <c r="E252" s="487">
        <f t="shared" si="18"/>
        <v>5000</v>
      </c>
      <c r="F252" s="605"/>
      <c r="G252" s="489">
        <f t="shared" si="19"/>
        <v>0</v>
      </c>
      <c r="H252" s="490">
        <f t="shared" si="20"/>
        <v>0</v>
      </c>
      <c r="I252" s="606" t="s">
        <v>56</v>
      </c>
      <c r="J252" s="215">
        <v>5000000</v>
      </c>
      <c r="K252" s="613" t="s">
        <v>299</v>
      </c>
      <c r="L252" s="614" t="s">
        <v>315</v>
      </c>
      <c r="M252" s="615">
        <v>1</v>
      </c>
      <c r="N252" s="615" t="s">
        <v>313</v>
      </c>
      <c r="O252" s="616" t="s">
        <v>317</v>
      </c>
      <c r="P252" s="215">
        <f t="shared" si="14"/>
        <v>5000000</v>
      </c>
      <c r="Q252" s="617" t="s">
        <v>299</v>
      </c>
      <c r="R252" s="631"/>
    </row>
    <row r="253" spans="1:18" ht="17.45" customHeight="1">
      <c r="A253" s="396"/>
      <c r="B253" s="199"/>
      <c r="C253" s="612" t="s">
        <v>289</v>
      </c>
      <c r="D253" s="487">
        <v>3000</v>
      </c>
      <c r="E253" s="487">
        <f t="shared" si="18"/>
        <v>5000</v>
      </c>
      <c r="F253" s="605"/>
      <c r="G253" s="489">
        <f t="shared" si="19"/>
        <v>2000</v>
      </c>
      <c r="H253" s="490">
        <f t="shared" si="20"/>
        <v>66.666666666666657</v>
      </c>
      <c r="I253" s="606" t="s">
        <v>56</v>
      </c>
      <c r="J253" s="215">
        <v>5000000</v>
      </c>
      <c r="K253" s="613" t="s">
        <v>299</v>
      </c>
      <c r="L253" s="614" t="s">
        <v>315</v>
      </c>
      <c r="M253" s="615">
        <v>1</v>
      </c>
      <c r="N253" s="615" t="s">
        <v>313</v>
      </c>
      <c r="O253" s="616" t="s">
        <v>317</v>
      </c>
      <c r="P253" s="215">
        <f t="shared" si="14"/>
        <v>5000000</v>
      </c>
      <c r="Q253" s="617" t="s">
        <v>299</v>
      </c>
      <c r="R253" s="631"/>
    </row>
    <row r="254" spans="1:18" ht="17.45" customHeight="1">
      <c r="A254" s="396"/>
      <c r="B254" s="199"/>
      <c r="C254" s="603" t="s">
        <v>143</v>
      </c>
      <c r="D254" s="487">
        <v>5000</v>
      </c>
      <c r="E254" s="487">
        <f t="shared" si="18"/>
        <v>5000</v>
      </c>
      <c r="F254" s="605"/>
      <c r="G254" s="489">
        <f t="shared" si="19"/>
        <v>0</v>
      </c>
      <c r="H254" s="490">
        <f t="shared" si="20"/>
        <v>0</v>
      </c>
      <c r="I254" s="606" t="s">
        <v>56</v>
      </c>
      <c r="J254" s="215">
        <v>5000000</v>
      </c>
      <c r="K254" s="613" t="s">
        <v>299</v>
      </c>
      <c r="L254" s="614" t="s">
        <v>315</v>
      </c>
      <c r="M254" s="615">
        <v>1</v>
      </c>
      <c r="N254" s="615" t="s">
        <v>313</v>
      </c>
      <c r="O254" s="616" t="s">
        <v>317</v>
      </c>
      <c r="P254" s="215">
        <f t="shared" si="14"/>
        <v>5000000</v>
      </c>
      <c r="Q254" s="617" t="s">
        <v>299</v>
      </c>
      <c r="R254" s="631"/>
    </row>
    <row r="255" spans="1:18" ht="17.45" customHeight="1">
      <c r="A255" s="396"/>
      <c r="B255" s="199"/>
      <c r="C255" s="603" t="s">
        <v>173</v>
      </c>
      <c r="D255" s="487">
        <v>2400</v>
      </c>
      <c r="E255" s="487">
        <f t="shared" si="18"/>
        <v>2400</v>
      </c>
      <c r="F255" s="605"/>
      <c r="G255" s="489">
        <f t="shared" si="19"/>
        <v>0</v>
      </c>
      <c r="H255" s="490">
        <f t="shared" si="20"/>
        <v>0</v>
      </c>
      <c r="I255" s="606" t="s">
        <v>56</v>
      </c>
      <c r="J255" s="215">
        <v>2400000</v>
      </c>
      <c r="K255" s="613" t="s">
        <v>299</v>
      </c>
      <c r="L255" s="614" t="s">
        <v>315</v>
      </c>
      <c r="M255" s="615">
        <v>1</v>
      </c>
      <c r="N255" s="615" t="s">
        <v>313</v>
      </c>
      <c r="O255" s="616" t="s">
        <v>317</v>
      </c>
      <c r="P255" s="215">
        <f t="shared" si="14"/>
        <v>2400000</v>
      </c>
      <c r="Q255" s="617" t="s">
        <v>299</v>
      </c>
      <c r="R255" s="631"/>
    </row>
    <row r="256" spans="1:18" ht="17.45" customHeight="1">
      <c r="A256" s="396"/>
      <c r="B256" s="199"/>
      <c r="C256" s="632" t="s">
        <v>272</v>
      </c>
      <c r="D256" s="487">
        <v>78000</v>
      </c>
      <c r="E256" s="487">
        <f t="shared" si="18"/>
        <v>78000</v>
      </c>
      <c r="F256" s="605"/>
      <c r="G256" s="489">
        <f t="shared" si="19"/>
        <v>0</v>
      </c>
      <c r="H256" s="490">
        <f t="shared" si="20"/>
        <v>0</v>
      </c>
      <c r="I256" s="606" t="s">
        <v>56</v>
      </c>
      <c r="J256" s="215">
        <v>6500000</v>
      </c>
      <c r="K256" s="613" t="s">
        <v>299</v>
      </c>
      <c r="L256" s="614" t="s">
        <v>315</v>
      </c>
      <c r="M256" s="615">
        <v>12</v>
      </c>
      <c r="N256" s="615" t="s">
        <v>313</v>
      </c>
      <c r="O256" s="616" t="s">
        <v>317</v>
      </c>
      <c r="P256" s="215">
        <f t="shared" si="14"/>
        <v>78000000</v>
      </c>
      <c r="Q256" s="617" t="s">
        <v>299</v>
      </c>
      <c r="R256" s="631"/>
    </row>
    <row r="257" spans="1:18" ht="17.45" customHeight="1">
      <c r="A257" s="513"/>
      <c r="B257" s="263"/>
      <c r="C257" s="618" t="s">
        <v>94</v>
      </c>
      <c r="D257" s="620">
        <v>3300</v>
      </c>
      <c r="E257" s="620">
        <f t="shared" si="18"/>
        <v>3300</v>
      </c>
      <c r="F257" s="621"/>
      <c r="G257" s="521">
        <f t="shared" si="19"/>
        <v>0</v>
      </c>
      <c r="H257" s="549">
        <f t="shared" si="20"/>
        <v>0</v>
      </c>
      <c r="I257" s="606" t="s">
        <v>56</v>
      </c>
      <c r="J257" s="215">
        <v>3300000</v>
      </c>
      <c r="K257" s="613" t="s">
        <v>299</v>
      </c>
      <c r="L257" s="614" t="s">
        <v>315</v>
      </c>
      <c r="M257" s="615">
        <v>1</v>
      </c>
      <c r="N257" s="615" t="s">
        <v>313</v>
      </c>
      <c r="O257" s="616" t="s">
        <v>317</v>
      </c>
      <c r="P257" s="215">
        <f t="shared" si="14"/>
        <v>3300000</v>
      </c>
      <c r="Q257" s="617" t="s">
        <v>299</v>
      </c>
      <c r="R257" s="631"/>
    </row>
    <row r="258" spans="1:18" ht="17.45" customHeight="1">
      <c r="A258" s="513"/>
      <c r="B258" s="263"/>
      <c r="C258" s="633" t="s">
        <v>290</v>
      </c>
      <c r="D258" s="620">
        <v>3000</v>
      </c>
      <c r="E258" s="620">
        <f t="shared" si="18"/>
        <v>3000</v>
      </c>
      <c r="F258" s="621"/>
      <c r="G258" s="521">
        <f t="shared" si="19"/>
        <v>0</v>
      </c>
      <c r="H258" s="549">
        <f t="shared" si="20"/>
        <v>0</v>
      </c>
      <c r="I258" s="606" t="s">
        <v>56</v>
      </c>
      <c r="J258" s="215">
        <v>3000000</v>
      </c>
      <c r="K258" s="613" t="s">
        <v>299</v>
      </c>
      <c r="L258" s="614" t="s">
        <v>315</v>
      </c>
      <c r="M258" s="615">
        <v>1</v>
      </c>
      <c r="N258" s="615" t="s">
        <v>313</v>
      </c>
      <c r="O258" s="616" t="s">
        <v>317</v>
      </c>
      <c r="P258" s="215">
        <f t="shared" si="14"/>
        <v>3000000</v>
      </c>
      <c r="Q258" s="617" t="s">
        <v>299</v>
      </c>
    </row>
    <row r="259" spans="1:18" ht="17.45" customHeight="1">
      <c r="A259" s="396"/>
      <c r="B259" s="199"/>
      <c r="C259" s="612" t="s">
        <v>254</v>
      </c>
      <c r="D259" s="487">
        <v>3000</v>
      </c>
      <c r="E259" s="487">
        <f t="shared" si="18"/>
        <v>3000</v>
      </c>
      <c r="F259" s="605"/>
      <c r="G259" s="489">
        <f t="shared" si="19"/>
        <v>0</v>
      </c>
      <c r="H259" s="490">
        <f t="shared" si="20"/>
        <v>0</v>
      </c>
      <c r="I259" s="606" t="s">
        <v>56</v>
      </c>
      <c r="J259" s="215">
        <v>3000000</v>
      </c>
      <c r="K259" s="613" t="s">
        <v>299</v>
      </c>
      <c r="L259" s="614" t="s">
        <v>315</v>
      </c>
      <c r="M259" s="615">
        <v>1</v>
      </c>
      <c r="N259" s="615" t="s">
        <v>313</v>
      </c>
      <c r="O259" s="616" t="s">
        <v>317</v>
      </c>
      <c r="P259" s="215">
        <f t="shared" si="14"/>
        <v>3000000</v>
      </c>
      <c r="Q259" s="617" t="s">
        <v>299</v>
      </c>
    </row>
    <row r="260" spans="1:18" ht="17.45" customHeight="1">
      <c r="A260" s="513"/>
      <c r="B260" s="263"/>
      <c r="C260" s="618" t="s">
        <v>117</v>
      </c>
      <c r="D260" s="620">
        <v>3600</v>
      </c>
      <c r="E260" s="620">
        <f t="shared" si="18"/>
        <v>3600</v>
      </c>
      <c r="F260" s="621"/>
      <c r="G260" s="521">
        <f t="shared" si="19"/>
        <v>0</v>
      </c>
      <c r="H260" s="549">
        <f t="shared" si="20"/>
        <v>0</v>
      </c>
      <c r="I260" s="634" t="s">
        <v>56</v>
      </c>
      <c r="J260" s="212">
        <v>3600000</v>
      </c>
      <c r="K260" s="635" t="s">
        <v>299</v>
      </c>
      <c r="L260" s="636" t="s">
        <v>315</v>
      </c>
      <c r="M260" s="637">
        <v>1</v>
      </c>
      <c r="N260" s="637" t="s">
        <v>313</v>
      </c>
      <c r="O260" s="638" t="s">
        <v>317</v>
      </c>
      <c r="P260" s="215">
        <f t="shared" si="14"/>
        <v>3600000</v>
      </c>
      <c r="Q260" s="623" t="s">
        <v>299</v>
      </c>
    </row>
    <row r="261" spans="1:18" ht="17.45" customHeight="1">
      <c r="A261" s="513" t="s">
        <v>324</v>
      </c>
      <c r="B261" s="263" t="s">
        <v>324</v>
      </c>
      <c r="C261" s="603" t="s">
        <v>257</v>
      </c>
      <c r="D261" s="487">
        <v>4800</v>
      </c>
      <c r="E261" s="487">
        <f t="shared" si="18"/>
        <v>0</v>
      </c>
      <c r="F261" s="605"/>
      <c r="G261" s="489">
        <f t="shared" si="19"/>
        <v>-4800</v>
      </c>
      <c r="H261" s="490">
        <f t="shared" si="20"/>
        <v>-100</v>
      </c>
      <c r="I261" s="606" t="s">
        <v>19</v>
      </c>
      <c r="J261" s="215">
        <v>0</v>
      </c>
      <c r="K261" s="613" t="s">
        <v>299</v>
      </c>
      <c r="L261" s="614" t="s">
        <v>315</v>
      </c>
      <c r="M261" s="615">
        <v>1</v>
      </c>
      <c r="N261" s="615" t="s">
        <v>313</v>
      </c>
      <c r="O261" s="616" t="s">
        <v>317</v>
      </c>
      <c r="P261" s="215">
        <f t="shared" si="14"/>
        <v>0</v>
      </c>
      <c r="Q261" s="617" t="s">
        <v>299</v>
      </c>
      <c r="R261" s="631"/>
    </row>
    <row r="262" spans="1:18" ht="17.45" customHeight="1">
      <c r="A262" s="396"/>
      <c r="B262" s="199"/>
      <c r="C262" s="612" t="s">
        <v>365</v>
      </c>
      <c r="D262" s="487">
        <v>3000</v>
      </c>
      <c r="E262" s="487">
        <f t="shared" si="18"/>
        <v>3000</v>
      </c>
      <c r="F262" s="605"/>
      <c r="G262" s="489">
        <f t="shared" si="19"/>
        <v>0</v>
      </c>
      <c r="H262" s="490">
        <f t="shared" si="20"/>
        <v>0</v>
      </c>
      <c r="I262" s="606" t="s">
        <v>56</v>
      </c>
      <c r="J262" s="215">
        <v>3000000</v>
      </c>
      <c r="K262" s="613" t="s">
        <v>299</v>
      </c>
      <c r="L262" s="614" t="s">
        <v>315</v>
      </c>
      <c r="M262" s="615">
        <v>1</v>
      </c>
      <c r="N262" s="615" t="s">
        <v>313</v>
      </c>
      <c r="O262" s="616" t="s">
        <v>317</v>
      </c>
      <c r="P262" s="215">
        <f t="shared" si="14"/>
        <v>3000000</v>
      </c>
      <c r="Q262" s="617" t="s">
        <v>299</v>
      </c>
    </row>
    <row r="263" spans="1:18" ht="17.45" customHeight="1">
      <c r="A263" s="396"/>
      <c r="B263" s="199"/>
      <c r="C263" s="603" t="s">
        <v>89</v>
      </c>
      <c r="D263" s="487">
        <v>3600</v>
      </c>
      <c r="E263" s="487">
        <f t="shared" si="18"/>
        <v>0</v>
      </c>
      <c r="F263" s="605"/>
      <c r="G263" s="489">
        <f t="shared" si="19"/>
        <v>-3600</v>
      </c>
      <c r="H263" s="490">
        <f t="shared" si="20"/>
        <v>-100</v>
      </c>
      <c r="I263" s="606" t="s">
        <v>19</v>
      </c>
      <c r="J263" s="215">
        <v>0</v>
      </c>
      <c r="K263" s="613" t="s">
        <v>299</v>
      </c>
      <c r="L263" s="614" t="s">
        <v>315</v>
      </c>
      <c r="M263" s="615">
        <v>1</v>
      </c>
      <c r="N263" s="615" t="s">
        <v>313</v>
      </c>
      <c r="O263" s="616" t="s">
        <v>317</v>
      </c>
      <c r="P263" s="215">
        <f t="shared" si="14"/>
        <v>0</v>
      </c>
      <c r="Q263" s="617" t="s">
        <v>299</v>
      </c>
    </row>
    <row r="264" spans="1:18" ht="17.45" customHeight="1">
      <c r="A264" s="396"/>
      <c r="B264" s="199"/>
      <c r="C264" s="603" t="s">
        <v>171</v>
      </c>
      <c r="D264" s="487">
        <v>3000</v>
      </c>
      <c r="E264" s="487">
        <f t="shared" si="18"/>
        <v>3000</v>
      </c>
      <c r="F264" s="605"/>
      <c r="G264" s="489">
        <f t="shared" si="19"/>
        <v>0</v>
      </c>
      <c r="H264" s="490">
        <f t="shared" si="20"/>
        <v>0</v>
      </c>
      <c r="I264" s="606" t="s">
        <v>56</v>
      </c>
      <c r="J264" s="215">
        <v>3000000</v>
      </c>
      <c r="K264" s="613" t="s">
        <v>299</v>
      </c>
      <c r="L264" s="614" t="s">
        <v>315</v>
      </c>
      <c r="M264" s="615">
        <v>1</v>
      </c>
      <c r="N264" s="615" t="s">
        <v>313</v>
      </c>
      <c r="O264" s="616" t="s">
        <v>317</v>
      </c>
      <c r="P264" s="215">
        <f t="shared" si="14"/>
        <v>3000000</v>
      </c>
      <c r="Q264" s="617" t="s">
        <v>299</v>
      </c>
      <c r="R264" s="622"/>
    </row>
    <row r="265" spans="1:18" ht="17.45" customHeight="1">
      <c r="A265" s="396"/>
      <c r="B265" s="199"/>
      <c r="C265" s="612" t="s">
        <v>35</v>
      </c>
      <c r="D265" s="487">
        <v>10000</v>
      </c>
      <c r="E265" s="487">
        <f t="shared" si="18"/>
        <v>21000</v>
      </c>
      <c r="F265" s="605"/>
      <c r="G265" s="489">
        <f t="shared" si="19"/>
        <v>11000</v>
      </c>
      <c r="H265" s="490">
        <f t="shared" si="20"/>
        <v>110.00000000000001</v>
      </c>
      <c r="I265" s="606" t="s">
        <v>395</v>
      </c>
      <c r="J265" s="215">
        <v>7000000</v>
      </c>
      <c r="K265" s="613" t="s">
        <v>299</v>
      </c>
      <c r="L265" s="614" t="s">
        <v>315</v>
      </c>
      <c r="M265" s="615">
        <v>3</v>
      </c>
      <c r="N265" s="615" t="s">
        <v>313</v>
      </c>
      <c r="O265" s="616" t="s">
        <v>317</v>
      </c>
      <c r="P265" s="215">
        <f t="shared" si="14"/>
        <v>21000000</v>
      </c>
      <c r="Q265" s="617" t="s">
        <v>299</v>
      </c>
      <c r="R265" s="622"/>
    </row>
    <row r="266" spans="1:18" ht="17.45" customHeight="1">
      <c r="A266" s="513"/>
      <c r="B266" s="263"/>
      <c r="C266" s="618" t="s">
        <v>119</v>
      </c>
      <c r="D266" s="620">
        <v>2700</v>
      </c>
      <c r="E266" s="620">
        <f t="shared" si="18"/>
        <v>2700</v>
      </c>
      <c r="F266" s="621"/>
      <c r="G266" s="521">
        <f t="shared" si="19"/>
        <v>0</v>
      </c>
      <c r="H266" s="549">
        <f t="shared" si="20"/>
        <v>0</v>
      </c>
      <c r="I266" s="606" t="s">
        <v>56</v>
      </c>
      <c r="J266" s="215">
        <v>2700000</v>
      </c>
      <c r="K266" s="613" t="s">
        <v>299</v>
      </c>
      <c r="L266" s="614" t="s">
        <v>315</v>
      </c>
      <c r="M266" s="615">
        <v>1</v>
      </c>
      <c r="N266" s="615" t="s">
        <v>313</v>
      </c>
      <c r="O266" s="616" t="s">
        <v>317</v>
      </c>
      <c r="P266" s="215">
        <f t="shared" si="14"/>
        <v>2700000</v>
      </c>
      <c r="Q266" s="617" t="s">
        <v>299</v>
      </c>
    </row>
    <row r="267" spans="1:18" ht="17.45" customHeight="1">
      <c r="A267" s="513"/>
      <c r="B267" s="263"/>
      <c r="C267" s="603" t="s">
        <v>99</v>
      </c>
      <c r="D267" s="487">
        <v>2400</v>
      </c>
      <c r="E267" s="487">
        <f t="shared" ref="E267:E283" si="21">P267/1000</f>
        <v>2400</v>
      </c>
      <c r="F267" s="605"/>
      <c r="G267" s="489">
        <f t="shared" si="19"/>
        <v>0</v>
      </c>
      <c r="H267" s="490">
        <f t="shared" ref="H267:H276" si="22">+G267/D267*100</f>
        <v>0</v>
      </c>
      <c r="I267" s="606" t="s">
        <v>56</v>
      </c>
      <c r="J267" s="215">
        <v>2400000</v>
      </c>
      <c r="K267" s="613" t="s">
        <v>299</v>
      </c>
      <c r="L267" s="614" t="s">
        <v>315</v>
      </c>
      <c r="M267" s="615">
        <v>1</v>
      </c>
      <c r="N267" s="615" t="s">
        <v>313</v>
      </c>
      <c r="O267" s="616" t="s">
        <v>317</v>
      </c>
      <c r="P267" s="215">
        <f t="shared" si="14"/>
        <v>2400000</v>
      </c>
      <c r="Q267" s="617" t="s">
        <v>299</v>
      </c>
    </row>
    <row r="268" spans="1:18" ht="17.45" customHeight="1">
      <c r="A268" s="513"/>
      <c r="B268" s="263"/>
      <c r="C268" s="626" t="s">
        <v>238</v>
      </c>
      <c r="D268" s="562">
        <v>4662</v>
      </c>
      <c r="E268" s="487">
        <f t="shared" si="21"/>
        <v>4662</v>
      </c>
      <c r="F268" s="627"/>
      <c r="G268" s="489">
        <f t="shared" si="19"/>
        <v>0</v>
      </c>
      <c r="H268" s="490">
        <f t="shared" si="22"/>
        <v>0</v>
      </c>
      <c r="I268" s="606" t="s">
        <v>56</v>
      </c>
      <c r="J268" s="215">
        <v>4662000</v>
      </c>
      <c r="K268" s="613" t="s">
        <v>299</v>
      </c>
      <c r="L268" s="614" t="s">
        <v>315</v>
      </c>
      <c r="M268" s="615">
        <v>1</v>
      </c>
      <c r="N268" s="615" t="s">
        <v>313</v>
      </c>
      <c r="O268" s="616" t="s">
        <v>317</v>
      </c>
      <c r="P268" s="215">
        <f t="shared" si="14"/>
        <v>4662000</v>
      </c>
      <c r="Q268" s="617" t="s">
        <v>299</v>
      </c>
    </row>
    <row r="269" spans="1:18" ht="17.45" customHeight="1">
      <c r="A269" s="513"/>
      <c r="B269" s="263"/>
      <c r="C269" s="630" t="s">
        <v>469</v>
      </c>
      <c r="D269" s="562">
        <v>0</v>
      </c>
      <c r="E269" s="487">
        <f>P269/1000</f>
        <v>2000</v>
      </c>
      <c r="F269" s="627"/>
      <c r="G269" s="489">
        <f>+E269-D269</f>
        <v>2000</v>
      </c>
      <c r="H269" s="639" t="s">
        <v>345</v>
      </c>
      <c r="I269" s="606" t="s">
        <v>56</v>
      </c>
      <c r="J269" s="215">
        <v>500000</v>
      </c>
      <c r="K269" s="613" t="s">
        <v>299</v>
      </c>
      <c r="L269" s="614" t="s">
        <v>315</v>
      </c>
      <c r="M269" s="615">
        <v>4</v>
      </c>
      <c r="N269" s="615" t="s">
        <v>313</v>
      </c>
      <c r="O269" s="616" t="s">
        <v>317</v>
      </c>
      <c r="P269" s="215">
        <f>J269*M269</f>
        <v>2000000</v>
      </c>
      <c r="Q269" s="617" t="s">
        <v>299</v>
      </c>
    </row>
    <row r="270" spans="1:18" ht="17.45" customHeight="1">
      <c r="A270" s="396"/>
      <c r="B270" s="199"/>
      <c r="C270" s="630" t="s">
        <v>424</v>
      </c>
      <c r="D270" s="562">
        <v>600</v>
      </c>
      <c r="E270" s="487">
        <f t="shared" si="21"/>
        <v>10699.999949999999</v>
      </c>
      <c r="F270" s="627"/>
      <c r="G270" s="489">
        <f t="shared" ref="G270:G283" si="23">+E270-D270</f>
        <v>10099.999949999999</v>
      </c>
      <c r="H270" s="490">
        <f t="shared" si="22"/>
        <v>1683.3333249999998</v>
      </c>
      <c r="I270" s="606" t="s">
        <v>56</v>
      </c>
      <c r="J270" s="215">
        <v>713333.33</v>
      </c>
      <c r="K270" s="613" t="s">
        <v>299</v>
      </c>
      <c r="L270" s="614" t="s">
        <v>315</v>
      </c>
      <c r="M270" s="615">
        <v>15</v>
      </c>
      <c r="N270" s="615" t="s">
        <v>313</v>
      </c>
      <c r="O270" s="616" t="s">
        <v>317</v>
      </c>
      <c r="P270" s="215">
        <f t="shared" si="14"/>
        <v>10699999.949999999</v>
      </c>
      <c r="Q270" s="617" t="s">
        <v>299</v>
      </c>
      <c r="R270" s="622"/>
    </row>
    <row r="271" spans="1:18" ht="17.45" customHeight="1">
      <c r="A271" s="396"/>
      <c r="B271" s="199"/>
      <c r="C271" s="612" t="s">
        <v>232</v>
      </c>
      <c r="D271" s="487">
        <v>1200</v>
      </c>
      <c r="E271" s="487">
        <f t="shared" si="21"/>
        <v>8700</v>
      </c>
      <c r="F271" s="627"/>
      <c r="G271" s="489">
        <f t="shared" si="23"/>
        <v>7500</v>
      </c>
      <c r="H271" s="490">
        <f t="shared" si="22"/>
        <v>625</v>
      </c>
      <c r="I271" s="606" t="s">
        <v>56</v>
      </c>
      <c r="J271" s="215">
        <v>2175000</v>
      </c>
      <c r="K271" s="613" t="s">
        <v>299</v>
      </c>
      <c r="L271" s="614" t="s">
        <v>315</v>
      </c>
      <c r="M271" s="615">
        <v>4</v>
      </c>
      <c r="N271" s="615" t="s">
        <v>313</v>
      </c>
      <c r="O271" s="616" t="s">
        <v>317</v>
      </c>
      <c r="P271" s="215">
        <f t="shared" si="14"/>
        <v>8700000</v>
      </c>
      <c r="Q271" s="617" t="s">
        <v>299</v>
      </c>
      <c r="R271" s="622"/>
    </row>
    <row r="272" spans="1:18" ht="17.45" customHeight="1">
      <c r="A272" s="396"/>
      <c r="B272" s="199"/>
      <c r="C272" s="624" t="s">
        <v>259</v>
      </c>
      <c r="D272" s="487">
        <v>116078.97</v>
      </c>
      <c r="E272" s="620">
        <f t="shared" si="21"/>
        <v>116078.97</v>
      </c>
      <c r="F272" s="621"/>
      <c r="G272" s="521">
        <f t="shared" si="23"/>
        <v>0</v>
      </c>
      <c r="H272" s="549">
        <f t="shared" si="22"/>
        <v>0</v>
      </c>
      <c r="I272" s="625" t="s">
        <v>405</v>
      </c>
      <c r="J272" s="215">
        <v>23215794</v>
      </c>
      <c r="K272" s="613" t="s">
        <v>299</v>
      </c>
      <c r="L272" s="614" t="s">
        <v>328</v>
      </c>
      <c r="M272" s="615">
        <v>5</v>
      </c>
      <c r="N272" s="615" t="s">
        <v>313</v>
      </c>
      <c r="O272" s="616" t="s">
        <v>317</v>
      </c>
      <c r="P272" s="215">
        <f t="shared" si="14"/>
        <v>116078970</v>
      </c>
      <c r="Q272" s="617" t="s">
        <v>299</v>
      </c>
    </row>
    <row r="273" spans="1:18" ht="17.45" customHeight="1">
      <c r="A273" s="396"/>
      <c r="B273" s="199"/>
      <c r="C273" s="612" t="s">
        <v>474</v>
      </c>
      <c r="D273" s="487">
        <v>2100</v>
      </c>
      <c r="E273" s="487">
        <f t="shared" si="21"/>
        <v>2100</v>
      </c>
      <c r="F273" s="605"/>
      <c r="G273" s="489">
        <f t="shared" si="23"/>
        <v>0</v>
      </c>
      <c r="H273" s="549">
        <f t="shared" si="22"/>
        <v>0</v>
      </c>
      <c r="I273" s="606" t="s">
        <v>56</v>
      </c>
      <c r="J273" s="215">
        <v>2100000</v>
      </c>
      <c r="K273" s="613" t="s">
        <v>299</v>
      </c>
      <c r="L273" s="614" t="s">
        <v>315</v>
      </c>
      <c r="M273" s="615">
        <v>1</v>
      </c>
      <c r="N273" s="615" t="s">
        <v>313</v>
      </c>
      <c r="O273" s="616" t="s">
        <v>317</v>
      </c>
      <c r="P273" s="215">
        <f t="shared" si="14"/>
        <v>2100000</v>
      </c>
      <c r="Q273" s="617" t="s">
        <v>299</v>
      </c>
      <c r="R273" s="622"/>
    </row>
    <row r="274" spans="1:18" ht="17.45" customHeight="1">
      <c r="A274" s="396"/>
      <c r="B274" s="199"/>
      <c r="C274" s="612" t="s">
        <v>269</v>
      </c>
      <c r="D274" s="487">
        <v>3400</v>
      </c>
      <c r="E274" s="487">
        <f t="shared" si="21"/>
        <v>3400</v>
      </c>
      <c r="F274" s="605"/>
      <c r="G274" s="489">
        <f t="shared" si="23"/>
        <v>0</v>
      </c>
      <c r="H274" s="549">
        <f t="shared" si="22"/>
        <v>0</v>
      </c>
      <c r="I274" s="606" t="s">
        <v>56</v>
      </c>
      <c r="J274" s="215">
        <v>850000</v>
      </c>
      <c r="K274" s="613" t="s">
        <v>299</v>
      </c>
      <c r="L274" s="614" t="s">
        <v>315</v>
      </c>
      <c r="M274" s="615">
        <v>4</v>
      </c>
      <c r="N274" s="615" t="s">
        <v>313</v>
      </c>
      <c r="O274" s="616" t="s">
        <v>317</v>
      </c>
      <c r="P274" s="215">
        <f t="shared" si="14"/>
        <v>3400000</v>
      </c>
      <c r="Q274" s="617" t="s">
        <v>299</v>
      </c>
      <c r="R274" s="622"/>
    </row>
    <row r="275" spans="1:18" ht="17.45" customHeight="1">
      <c r="A275" s="396"/>
      <c r="B275" s="199"/>
      <c r="C275" s="632" t="s">
        <v>265</v>
      </c>
      <c r="D275" s="487">
        <v>22534.799999999999</v>
      </c>
      <c r="E275" s="487">
        <f t="shared" si="21"/>
        <v>22534.799999999999</v>
      </c>
      <c r="F275" s="605"/>
      <c r="G275" s="489">
        <f t="shared" si="23"/>
        <v>0</v>
      </c>
      <c r="H275" s="549">
        <f t="shared" si="22"/>
        <v>0</v>
      </c>
      <c r="I275" s="625" t="s">
        <v>405</v>
      </c>
      <c r="J275" s="31">
        <v>11267400</v>
      </c>
      <c r="K275" s="613" t="s">
        <v>299</v>
      </c>
      <c r="L275" s="614" t="s">
        <v>315</v>
      </c>
      <c r="M275" s="615">
        <v>2</v>
      </c>
      <c r="N275" s="615" t="s">
        <v>313</v>
      </c>
      <c r="O275" s="616" t="s">
        <v>317</v>
      </c>
      <c r="P275" s="215">
        <f t="shared" si="14"/>
        <v>22534800</v>
      </c>
      <c r="Q275" s="617" t="s">
        <v>299</v>
      </c>
      <c r="R275" s="622"/>
    </row>
    <row r="276" spans="1:18" ht="17.45" customHeight="1">
      <c r="A276" s="396"/>
      <c r="B276" s="199"/>
      <c r="C276" s="632" t="s">
        <v>420</v>
      </c>
      <c r="D276" s="487">
        <v>1268</v>
      </c>
      <c r="E276" s="487">
        <f t="shared" si="21"/>
        <v>1268</v>
      </c>
      <c r="F276" s="605"/>
      <c r="G276" s="489">
        <f t="shared" si="23"/>
        <v>0</v>
      </c>
      <c r="H276" s="549">
        <f t="shared" si="22"/>
        <v>0</v>
      </c>
      <c r="I276" s="606" t="s">
        <v>395</v>
      </c>
      <c r="J276" s="31">
        <v>634000</v>
      </c>
      <c r="K276" s="613" t="s">
        <v>299</v>
      </c>
      <c r="L276" s="614" t="s">
        <v>315</v>
      </c>
      <c r="M276" s="615">
        <v>2</v>
      </c>
      <c r="N276" s="615" t="s">
        <v>313</v>
      </c>
      <c r="O276" s="616" t="s">
        <v>317</v>
      </c>
      <c r="P276" s="215">
        <f t="shared" si="14"/>
        <v>1268000</v>
      </c>
      <c r="Q276" s="617" t="s">
        <v>299</v>
      </c>
      <c r="R276" s="622"/>
    </row>
    <row r="277" spans="1:18" ht="17.45" customHeight="1">
      <c r="A277" s="396"/>
      <c r="B277" s="199"/>
      <c r="C277" s="603" t="s">
        <v>194</v>
      </c>
      <c r="D277" s="487">
        <v>300</v>
      </c>
      <c r="E277" s="487">
        <f t="shared" si="21"/>
        <v>300</v>
      </c>
      <c r="F277" s="605"/>
      <c r="G277" s="489">
        <f t="shared" si="23"/>
        <v>0</v>
      </c>
      <c r="H277" s="490">
        <f t="shared" ref="H277:H282" si="24">G277/D277*100</f>
        <v>0</v>
      </c>
      <c r="I277" s="606" t="s">
        <v>56</v>
      </c>
      <c r="J277" s="31">
        <v>300000</v>
      </c>
      <c r="K277" s="613" t="s">
        <v>299</v>
      </c>
      <c r="L277" s="614" t="s">
        <v>315</v>
      </c>
      <c r="M277" s="615">
        <v>1</v>
      </c>
      <c r="N277" s="615" t="s">
        <v>313</v>
      </c>
      <c r="O277" s="616" t="s">
        <v>317</v>
      </c>
      <c r="P277" s="215">
        <f t="shared" si="14"/>
        <v>300000</v>
      </c>
      <c r="Q277" s="617" t="s">
        <v>299</v>
      </c>
      <c r="R277" s="622"/>
    </row>
    <row r="278" spans="1:18" ht="17.45" customHeight="1">
      <c r="A278" s="396"/>
      <c r="B278" s="199"/>
      <c r="C278" s="603" t="s">
        <v>134</v>
      </c>
      <c r="D278" s="487">
        <v>1650</v>
      </c>
      <c r="E278" s="487">
        <f t="shared" si="21"/>
        <v>1650</v>
      </c>
      <c r="F278" s="605"/>
      <c r="G278" s="489">
        <f t="shared" si="23"/>
        <v>0</v>
      </c>
      <c r="H278" s="490">
        <f t="shared" si="24"/>
        <v>0</v>
      </c>
      <c r="I278" s="606" t="s">
        <v>395</v>
      </c>
      <c r="J278" s="31">
        <v>825000</v>
      </c>
      <c r="K278" s="613" t="s">
        <v>299</v>
      </c>
      <c r="L278" s="614" t="s">
        <v>315</v>
      </c>
      <c r="M278" s="615">
        <v>2</v>
      </c>
      <c r="N278" s="615" t="s">
        <v>313</v>
      </c>
      <c r="O278" s="616" t="s">
        <v>317</v>
      </c>
      <c r="P278" s="215">
        <f t="shared" si="14"/>
        <v>1650000</v>
      </c>
      <c r="Q278" s="617" t="s">
        <v>299</v>
      </c>
      <c r="R278" s="622"/>
    </row>
    <row r="279" spans="1:18" ht="17.45" customHeight="1">
      <c r="A279" s="396"/>
      <c r="B279" s="199"/>
      <c r="C279" s="603" t="s">
        <v>236</v>
      </c>
      <c r="D279" s="487">
        <v>300</v>
      </c>
      <c r="E279" s="487">
        <f t="shared" si="21"/>
        <v>300</v>
      </c>
      <c r="F279" s="605"/>
      <c r="G279" s="489">
        <f t="shared" si="23"/>
        <v>0</v>
      </c>
      <c r="H279" s="490">
        <f t="shared" si="24"/>
        <v>0</v>
      </c>
      <c r="I279" s="606" t="s">
        <v>56</v>
      </c>
      <c r="J279" s="31">
        <v>300000</v>
      </c>
      <c r="K279" s="613" t="s">
        <v>299</v>
      </c>
      <c r="L279" s="614" t="s">
        <v>315</v>
      </c>
      <c r="M279" s="615">
        <v>1</v>
      </c>
      <c r="N279" s="615" t="s">
        <v>313</v>
      </c>
      <c r="O279" s="616" t="s">
        <v>317</v>
      </c>
      <c r="P279" s="215">
        <f t="shared" si="14"/>
        <v>300000</v>
      </c>
      <c r="Q279" s="617" t="s">
        <v>299</v>
      </c>
      <c r="R279" s="622"/>
    </row>
    <row r="280" spans="1:18" ht="17.45" customHeight="1">
      <c r="A280" s="396"/>
      <c r="B280" s="199"/>
      <c r="C280" s="603" t="s">
        <v>75</v>
      </c>
      <c r="D280" s="487">
        <v>5000</v>
      </c>
      <c r="E280" s="487">
        <f t="shared" si="21"/>
        <v>10000</v>
      </c>
      <c r="F280" s="605"/>
      <c r="G280" s="489">
        <f t="shared" si="23"/>
        <v>5000</v>
      </c>
      <c r="H280" s="490">
        <f t="shared" si="24"/>
        <v>100</v>
      </c>
      <c r="I280" s="606" t="s">
        <v>395</v>
      </c>
      <c r="J280" s="31">
        <v>5000000</v>
      </c>
      <c r="K280" s="613" t="s">
        <v>299</v>
      </c>
      <c r="L280" s="614" t="s">
        <v>315</v>
      </c>
      <c r="M280" s="615">
        <v>2</v>
      </c>
      <c r="N280" s="615" t="s">
        <v>313</v>
      </c>
      <c r="O280" s="616" t="s">
        <v>317</v>
      </c>
      <c r="P280" s="215">
        <f t="shared" si="14"/>
        <v>10000000</v>
      </c>
      <c r="Q280" s="617" t="s">
        <v>299</v>
      </c>
      <c r="R280" s="622"/>
    </row>
    <row r="281" spans="1:18" ht="17.45" customHeight="1">
      <c r="A281" s="396"/>
      <c r="B281" s="199"/>
      <c r="C281" s="612" t="s">
        <v>24</v>
      </c>
      <c r="D281" s="487">
        <v>300</v>
      </c>
      <c r="E281" s="487">
        <f t="shared" si="21"/>
        <v>300</v>
      </c>
      <c r="F281" s="605"/>
      <c r="G281" s="489">
        <f t="shared" si="23"/>
        <v>0</v>
      </c>
      <c r="H281" s="490">
        <f t="shared" si="24"/>
        <v>0</v>
      </c>
      <c r="I281" s="606" t="s">
        <v>56</v>
      </c>
      <c r="J281" s="31">
        <v>300000</v>
      </c>
      <c r="K281" s="613" t="s">
        <v>299</v>
      </c>
      <c r="L281" s="614" t="s">
        <v>315</v>
      </c>
      <c r="M281" s="615">
        <v>1</v>
      </c>
      <c r="N281" s="615" t="s">
        <v>313</v>
      </c>
      <c r="O281" s="616" t="s">
        <v>317</v>
      </c>
      <c r="P281" s="215">
        <f t="shared" si="14"/>
        <v>300000</v>
      </c>
      <c r="Q281" s="617" t="s">
        <v>299</v>
      </c>
      <c r="R281" s="622"/>
    </row>
    <row r="282" spans="1:18" ht="17.45" customHeight="1">
      <c r="A282" s="396"/>
      <c r="B282" s="199"/>
      <c r="C282" s="612" t="s">
        <v>231</v>
      </c>
      <c r="D282" s="487">
        <v>300</v>
      </c>
      <c r="E282" s="487">
        <f t="shared" si="21"/>
        <v>300</v>
      </c>
      <c r="F282" s="605"/>
      <c r="G282" s="489">
        <f t="shared" si="23"/>
        <v>0</v>
      </c>
      <c r="H282" s="490">
        <f t="shared" si="24"/>
        <v>0</v>
      </c>
      <c r="I282" s="606" t="s">
        <v>56</v>
      </c>
      <c r="J282" s="215">
        <v>300000</v>
      </c>
      <c r="K282" s="613" t="s">
        <v>299</v>
      </c>
      <c r="L282" s="614" t="s">
        <v>315</v>
      </c>
      <c r="M282" s="615">
        <v>1</v>
      </c>
      <c r="N282" s="615" t="s">
        <v>313</v>
      </c>
      <c r="O282" s="616" t="s">
        <v>317</v>
      </c>
      <c r="P282" s="215">
        <f t="shared" si="14"/>
        <v>300000</v>
      </c>
      <c r="Q282" s="617" t="s">
        <v>299</v>
      </c>
      <c r="R282" s="622"/>
    </row>
    <row r="283" spans="1:18" ht="17.45" customHeight="1">
      <c r="A283" s="396"/>
      <c r="B283" s="199"/>
      <c r="C283" s="612" t="s">
        <v>421</v>
      </c>
      <c r="D283" s="487">
        <v>300</v>
      </c>
      <c r="E283" s="487">
        <f t="shared" si="21"/>
        <v>300</v>
      </c>
      <c r="F283" s="605"/>
      <c r="G283" s="489">
        <f t="shared" si="23"/>
        <v>0</v>
      </c>
      <c r="H283" s="490">
        <f>+G283/D283*100</f>
        <v>0</v>
      </c>
      <c r="I283" s="606" t="s">
        <v>56</v>
      </c>
      <c r="J283" s="215">
        <v>300000</v>
      </c>
      <c r="K283" s="613" t="s">
        <v>299</v>
      </c>
      <c r="L283" s="614" t="s">
        <v>315</v>
      </c>
      <c r="M283" s="615">
        <v>1</v>
      </c>
      <c r="N283" s="615" t="s">
        <v>313</v>
      </c>
      <c r="O283" s="616" t="s">
        <v>317</v>
      </c>
      <c r="P283" s="215">
        <f t="shared" si="14"/>
        <v>300000</v>
      </c>
      <c r="Q283" s="617" t="s">
        <v>299</v>
      </c>
      <c r="R283" s="622"/>
    </row>
    <row r="284" spans="1:18" ht="17.45" customHeight="1">
      <c r="A284" s="396"/>
      <c r="B284" s="199"/>
      <c r="C284" s="632" t="s">
        <v>295</v>
      </c>
      <c r="D284" s="487">
        <v>31454.56998</v>
      </c>
      <c r="E284" s="487">
        <f t="shared" ref="E284:E289" si="25">P284/1000</f>
        <v>31454.56998</v>
      </c>
      <c r="F284" s="605"/>
      <c r="G284" s="489">
        <f t="shared" ref="G284:G296" si="26">+E284-D284</f>
        <v>0</v>
      </c>
      <c r="H284" s="490">
        <f>+G284/D284*100</f>
        <v>0</v>
      </c>
      <c r="I284" s="625" t="s">
        <v>405</v>
      </c>
      <c r="J284" s="215">
        <v>10484856.66</v>
      </c>
      <c r="K284" s="613" t="s">
        <v>299</v>
      </c>
      <c r="L284" s="614" t="s">
        <v>315</v>
      </c>
      <c r="M284" s="615">
        <v>3</v>
      </c>
      <c r="N284" s="615" t="s">
        <v>313</v>
      </c>
      <c r="O284" s="616" t="s">
        <v>317</v>
      </c>
      <c r="P284" s="215">
        <f t="shared" si="14"/>
        <v>31454569.98</v>
      </c>
      <c r="Q284" s="617" t="s">
        <v>299</v>
      </c>
      <c r="R284" s="622"/>
    </row>
    <row r="285" spans="1:18" ht="17.45" customHeight="1">
      <c r="A285" s="513"/>
      <c r="B285" s="263"/>
      <c r="C285" s="624" t="s">
        <v>30</v>
      </c>
      <c r="D285" s="620">
        <v>6756</v>
      </c>
      <c r="E285" s="620">
        <f t="shared" si="25"/>
        <v>6756</v>
      </c>
      <c r="F285" s="621"/>
      <c r="G285" s="521">
        <f t="shared" si="26"/>
        <v>0</v>
      </c>
      <c r="H285" s="549">
        <f>+G285/D285*100</f>
        <v>0</v>
      </c>
      <c r="I285" s="606" t="s">
        <v>395</v>
      </c>
      <c r="J285" s="215">
        <v>2252000</v>
      </c>
      <c r="K285" s="613" t="s">
        <v>299</v>
      </c>
      <c r="L285" s="614" t="s">
        <v>315</v>
      </c>
      <c r="M285" s="615">
        <v>3</v>
      </c>
      <c r="N285" s="615" t="s">
        <v>313</v>
      </c>
      <c r="O285" s="616" t="s">
        <v>317</v>
      </c>
      <c r="P285" s="215">
        <f t="shared" si="14"/>
        <v>6756000</v>
      </c>
      <c r="Q285" s="617" t="s">
        <v>299</v>
      </c>
      <c r="R285" s="622"/>
    </row>
    <row r="286" spans="1:18" ht="17.45" customHeight="1">
      <c r="A286" s="513"/>
      <c r="B286" s="263"/>
      <c r="C286" s="624" t="s">
        <v>33</v>
      </c>
      <c r="D286" s="620">
        <v>300</v>
      </c>
      <c r="E286" s="620">
        <f t="shared" si="25"/>
        <v>300</v>
      </c>
      <c r="F286" s="621"/>
      <c r="G286" s="521">
        <f t="shared" si="26"/>
        <v>0</v>
      </c>
      <c r="H286" s="549">
        <f>+G286/D286*100</f>
        <v>0</v>
      </c>
      <c r="I286" s="606" t="s">
        <v>56</v>
      </c>
      <c r="J286" s="215">
        <v>300000</v>
      </c>
      <c r="K286" s="613" t="s">
        <v>299</v>
      </c>
      <c r="L286" s="614" t="s">
        <v>315</v>
      </c>
      <c r="M286" s="615">
        <v>1</v>
      </c>
      <c r="N286" s="615" t="s">
        <v>313</v>
      </c>
      <c r="O286" s="616" t="s">
        <v>317</v>
      </c>
      <c r="P286" s="215">
        <f t="shared" si="14"/>
        <v>300000</v>
      </c>
      <c r="Q286" s="617" t="s">
        <v>299</v>
      </c>
      <c r="R286" s="622"/>
    </row>
    <row r="287" spans="1:18" ht="17.45" customHeight="1">
      <c r="A287" s="513"/>
      <c r="B287" s="263"/>
      <c r="C287" s="640" t="s">
        <v>276</v>
      </c>
      <c r="D287" s="584">
        <v>23989.999980000001</v>
      </c>
      <c r="E287" s="620">
        <f t="shared" si="25"/>
        <v>48990</v>
      </c>
      <c r="F287" s="629"/>
      <c r="G287" s="521">
        <f t="shared" si="26"/>
        <v>25000.000019999999</v>
      </c>
      <c r="H287" s="549">
        <f>G287/D287*100</f>
        <v>104.21008770671953</v>
      </c>
      <c r="I287" s="606" t="s">
        <v>395</v>
      </c>
      <c r="J287" s="215">
        <v>12247500</v>
      </c>
      <c r="K287" s="613" t="s">
        <v>299</v>
      </c>
      <c r="L287" s="614" t="s">
        <v>315</v>
      </c>
      <c r="M287" s="615">
        <v>4</v>
      </c>
      <c r="N287" s="615" t="s">
        <v>313</v>
      </c>
      <c r="O287" s="616" t="s">
        <v>317</v>
      </c>
      <c r="P287" s="215">
        <f t="shared" ref="P287:P318" si="27">J287*M287</f>
        <v>48990000</v>
      </c>
      <c r="Q287" s="617" t="s">
        <v>299</v>
      </c>
      <c r="R287" s="622"/>
    </row>
    <row r="288" spans="1:18" ht="17.45" customHeight="1">
      <c r="A288" s="513"/>
      <c r="B288" s="263"/>
      <c r="C288" s="632" t="s">
        <v>170</v>
      </c>
      <c r="D288" s="487">
        <v>900</v>
      </c>
      <c r="E288" s="487">
        <f t="shared" si="25"/>
        <v>1436.01</v>
      </c>
      <c r="F288" s="605"/>
      <c r="G288" s="489">
        <f t="shared" si="26"/>
        <v>536.01</v>
      </c>
      <c r="H288" s="490">
        <f>G288/D288*100</f>
        <v>59.556666666666672</v>
      </c>
      <c r="I288" s="634" t="s">
        <v>56</v>
      </c>
      <c r="J288" s="212">
        <v>718005</v>
      </c>
      <c r="K288" s="635" t="s">
        <v>299</v>
      </c>
      <c r="L288" s="636" t="s">
        <v>315</v>
      </c>
      <c r="M288" s="637">
        <v>2</v>
      </c>
      <c r="N288" s="637" t="s">
        <v>313</v>
      </c>
      <c r="O288" s="638" t="s">
        <v>317</v>
      </c>
      <c r="P288" s="215">
        <f t="shared" si="27"/>
        <v>1436010</v>
      </c>
      <c r="Q288" s="623" t="s">
        <v>299</v>
      </c>
      <c r="R288" s="622"/>
    </row>
    <row r="289" spans="1:18" ht="17.45" customHeight="1">
      <c r="A289" s="513" t="s">
        <v>324</v>
      </c>
      <c r="B289" s="263" t="s">
        <v>324</v>
      </c>
      <c r="C289" s="641" t="s">
        <v>286</v>
      </c>
      <c r="D289" s="584">
        <v>13370</v>
      </c>
      <c r="E289" s="620">
        <f t="shared" si="25"/>
        <v>13370</v>
      </c>
      <c r="F289" s="629"/>
      <c r="G289" s="521">
        <f t="shared" si="26"/>
        <v>0</v>
      </c>
      <c r="H289" s="549">
        <f t="shared" ref="H289:H293" si="28">+G289/D289*100</f>
        <v>0</v>
      </c>
      <c r="I289" s="625" t="s">
        <v>56</v>
      </c>
      <c r="J289" s="215">
        <v>6685000</v>
      </c>
      <c r="K289" s="613" t="s">
        <v>299</v>
      </c>
      <c r="L289" s="614" t="s">
        <v>315</v>
      </c>
      <c r="M289" s="615">
        <v>2</v>
      </c>
      <c r="N289" s="615" t="s">
        <v>313</v>
      </c>
      <c r="O289" s="616" t="s">
        <v>317</v>
      </c>
      <c r="P289" s="215">
        <f t="shared" si="27"/>
        <v>13370000</v>
      </c>
      <c r="Q289" s="617" t="s">
        <v>299</v>
      </c>
    </row>
    <row r="290" spans="1:18" ht="17.45" customHeight="1">
      <c r="A290" s="396"/>
      <c r="B290" s="199"/>
      <c r="C290" s="626" t="s">
        <v>230</v>
      </c>
      <c r="D290" s="562">
        <v>13070</v>
      </c>
      <c r="E290" s="487">
        <f t="shared" ref="E290:E298" si="29">P290/1000</f>
        <v>12770</v>
      </c>
      <c r="F290" s="627"/>
      <c r="G290" s="489">
        <f t="shared" si="26"/>
        <v>-300</v>
      </c>
      <c r="H290" s="490">
        <f t="shared" si="28"/>
        <v>-2.2953328232593728</v>
      </c>
      <c r="I290" s="606" t="s">
        <v>56</v>
      </c>
      <c r="J290" s="215">
        <v>6385000</v>
      </c>
      <c r="K290" s="613" t="s">
        <v>299</v>
      </c>
      <c r="L290" s="614" t="s">
        <v>315</v>
      </c>
      <c r="M290" s="615">
        <v>2</v>
      </c>
      <c r="N290" s="615" t="s">
        <v>313</v>
      </c>
      <c r="O290" s="616" t="s">
        <v>317</v>
      </c>
      <c r="P290" s="215">
        <f t="shared" si="27"/>
        <v>12770000</v>
      </c>
      <c r="Q290" s="617" t="s">
        <v>299</v>
      </c>
    </row>
    <row r="291" spans="1:18" ht="17.45" customHeight="1">
      <c r="A291" s="396"/>
      <c r="B291" s="199"/>
      <c r="C291" s="626" t="s">
        <v>31</v>
      </c>
      <c r="D291" s="562">
        <v>300</v>
      </c>
      <c r="E291" s="487">
        <f t="shared" si="29"/>
        <v>300</v>
      </c>
      <c r="F291" s="627"/>
      <c r="G291" s="489">
        <f t="shared" si="26"/>
        <v>0</v>
      </c>
      <c r="H291" s="490">
        <f t="shared" si="28"/>
        <v>0</v>
      </c>
      <c r="I291" s="625" t="s">
        <v>56</v>
      </c>
      <c r="J291" s="215">
        <v>300000</v>
      </c>
      <c r="K291" s="613" t="s">
        <v>299</v>
      </c>
      <c r="L291" s="614" t="s">
        <v>315</v>
      </c>
      <c r="M291" s="615">
        <v>1</v>
      </c>
      <c r="N291" s="615" t="s">
        <v>313</v>
      </c>
      <c r="O291" s="616" t="s">
        <v>317</v>
      </c>
      <c r="P291" s="215">
        <f t="shared" si="27"/>
        <v>300000</v>
      </c>
      <c r="Q291" s="617" t="s">
        <v>299</v>
      </c>
    </row>
    <row r="292" spans="1:18" ht="17.45" customHeight="1">
      <c r="A292" s="396"/>
      <c r="B292" s="199"/>
      <c r="C292" s="603" t="s">
        <v>179</v>
      </c>
      <c r="D292" s="487">
        <v>10000</v>
      </c>
      <c r="E292" s="487">
        <f t="shared" si="29"/>
        <v>10000</v>
      </c>
      <c r="F292" s="605"/>
      <c r="G292" s="489">
        <f t="shared" si="26"/>
        <v>0</v>
      </c>
      <c r="H292" s="490">
        <f t="shared" si="28"/>
        <v>0</v>
      </c>
      <c r="I292" s="625" t="s">
        <v>56</v>
      </c>
      <c r="J292" s="215">
        <v>2500000</v>
      </c>
      <c r="K292" s="613" t="s">
        <v>299</v>
      </c>
      <c r="L292" s="614" t="s">
        <v>315</v>
      </c>
      <c r="M292" s="615">
        <v>4</v>
      </c>
      <c r="N292" s="615" t="s">
        <v>313</v>
      </c>
      <c r="O292" s="616" t="s">
        <v>317</v>
      </c>
      <c r="P292" s="215">
        <f t="shared" si="27"/>
        <v>10000000</v>
      </c>
      <c r="Q292" s="617" t="s">
        <v>299</v>
      </c>
    </row>
    <row r="293" spans="1:18" ht="17.45" customHeight="1">
      <c r="A293" s="396"/>
      <c r="B293" s="199"/>
      <c r="C293" s="624" t="s">
        <v>248</v>
      </c>
      <c r="D293" s="620">
        <v>5000</v>
      </c>
      <c r="E293" s="620">
        <f t="shared" si="29"/>
        <v>5000</v>
      </c>
      <c r="F293" s="621"/>
      <c r="G293" s="521">
        <f t="shared" si="26"/>
        <v>0</v>
      </c>
      <c r="H293" s="549">
        <f t="shared" si="28"/>
        <v>0</v>
      </c>
      <c r="I293" s="606" t="s">
        <v>56</v>
      </c>
      <c r="J293" s="215">
        <v>5000000</v>
      </c>
      <c r="K293" s="613" t="s">
        <v>299</v>
      </c>
      <c r="L293" s="614" t="s">
        <v>315</v>
      </c>
      <c r="M293" s="615">
        <v>1</v>
      </c>
      <c r="N293" s="615" t="s">
        <v>313</v>
      </c>
      <c r="O293" s="616" t="s">
        <v>317</v>
      </c>
      <c r="P293" s="215">
        <f t="shared" si="27"/>
        <v>5000000</v>
      </c>
      <c r="Q293" s="617" t="s">
        <v>299</v>
      </c>
    </row>
    <row r="294" spans="1:18" ht="17.45" customHeight="1">
      <c r="A294" s="513"/>
      <c r="B294" s="263"/>
      <c r="C294" s="628" t="s">
        <v>197</v>
      </c>
      <c r="D294" s="584">
        <v>22896.32</v>
      </c>
      <c r="E294" s="620">
        <f t="shared" si="29"/>
        <v>37896.319980000007</v>
      </c>
      <c r="F294" s="629"/>
      <c r="G294" s="521">
        <f t="shared" si="26"/>
        <v>14999.999980000008</v>
      </c>
      <c r="H294" s="549">
        <f>G294/D294*100</f>
        <v>65.512711125630702</v>
      </c>
      <c r="I294" s="625" t="s">
        <v>479</v>
      </c>
      <c r="J294" s="215">
        <v>12632106.66</v>
      </c>
      <c r="K294" s="613" t="s">
        <v>299</v>
      </c>
      <c r="L294" s="614" t="s">
        <v>315</v>
      </c>
      <c r="M294" s="615">
        <v>3</v>
      </c>
      <c r="N294" s="615" t="s">
        <v>313</v>
      </c>
      <c r="O294" s="616" t="s">
        <v>317</v>
      </c>
      <c r="P294" s="215">
        <f t="shared" si="27"/>
        <v>37896319.980000004</v>
      </c>
      <c r="Q294" s="617" t="s">
        <v>299</v>
      </c>
      <c r="R294" s="622"/>
    </row>
    <row r="295" spans="1:18" ht="17.45" customHeight="1">
      <c r="A295" s="396"/>
      <c r="B295" s="199"/>
      <c r="C295" s="626" t="s">
        <v>169</v>
      </c>
      <c r="D295" s="562">
        <v>300</v>
      </c>
      <c r="E295" s="487">
        <f t="shared" si="29"/>
        <v>300</v>
      </c>
      <c r="F295" s="627"/>
      <c r="G295" s="489">
        <f t="shared" si="26"/>
        <v>0</v>
      </c>
      <c r="H295" s="490">
        <f>G295/D295*100</f>
        <v>0</v>
      </c>
      <c r="I295" s="606" t="s">
        <v>56</v>
      </c>
      <c r="J295" s="215">
        <v>300000</v>
      </c>
      <c r="K295" s="613" t="s">
        <v>299</v>
      </c>
      <c r="L295" s="614" t="s">
        <v>315</v>
      </c>
      <c r="M295" s="615">
        <v>1</v>
      </c>
      <c r="N295" s="615" t="s">
        <v>313</v>
      </c>
      <c r="O295" s="616" t="s">
        <v>317</v>
      </c>
      <c r="P295" s="215">
        <f t="shared" si="27"/>
        <v>300000</v>
      </c>
      <c r="Q295" s="617" t="s">
        <v>299</v>
      </c>
      <c r="R295" s="622"/>
    </row>
    <row r="296" spans="1:18" ht="17.45" customHeight="1">
      <c r="A296" s="396"/>
      <c r="B296" s="199"/>
      <c r="C296" s="626" t="s">
        <v>205</v>
      </c>
      <c r="D296" s="562">
        <v>2300</v>
      </c>
      <c r="E296" s="487">
        <f t="shared" si="29"/>
        <v>2300</v>
      </c>
      <c r="F296" s="627"/>
      <c r="G296" s="489">
        <f t="shared" si="26"/>
        <v>0</v>
      </c>
      <c r="H296" s="490">
        <f>G296/D296*100</f>
        <v>0</v>
      </c>
      <c r="I296" s="606" t="s">
        <v>395</v>
      </c>
      <c r="J296" s="215">
        <v>1150000</v>
      </c>
      <c r="K296" s="613" t="s">
        <v>299</v>
      </c>
      <c r="L296" s="614" t="s">
        <v>315</v>
      </c>
      <c r="M296" s="615">
        <v>2</v>
      </c>
      <c r="N296" s="615" t="s">
        <v>313</v>
      </c>
      <c r="O296" s="616" t="s">
        <v>317</v>
      </c>
      <c r="P296" s="215">
        <f t="shared" si="27"/>
        <v>2300000</v>
      </c>
      <c r="Q296" s="617" t="s">
        <v>299</v>
      </c>
      <c r="R296" s="622"/>
    </row>
    <row r="297" spans="1:18" ht="17.45" customHeight="1">
      <c r="A297" s="396"/>
      <c r="B297" s="199"/>
      <c r="C297" s="626" t="s">
        <v>183</v>
      </c>
      <c r="D297" s="562">
        <v>2100</v>
      </c>
      <c r="E297" s="487">
        <f t="shared" si="29"/>
        <v>2100</v>
      </c>
      <c r="F297" s="627"/>
      <c r="G297" s="489">
        <f t="shared" ref="G297:G309" si="30">+E297-D297</f>
        <v>0</v>
      </c>
      <c r="H297" s="490">
        <f>G297/D297*100</f>
        <v>0</v>
      </c>
      <c r="I297" s="606" t="s">
        <v>56</v>
      </c>
      <c r="J297" s="215">
        <v>2100000</v>
      </c>
      <c r="K297" s="613" t="s">
        <v>299</v>
      </c>
      <c r="L297" s="614" t="s">
        <v>315</v>
      </c>
      <c r="M297" s="615">
        <v>1</v>
      </c>
      <c r="N297" s="615" t="s">
        <v>313</v>
      </c>
      <c r="O297" s="616" t="s">
        <v>317</v>
      </c>
      <c r="P297" s="215">
        <f t="shared" si="27"/>
        <v>2100000</v>
      </c>
      <c r="Q297" s="617" t="s">
        <v>299</v>
      </c>
      <c r="R297" s="622"/>
    </row>
    <row r="298" spans="1:18" ht="17.45" customHeight="1">
      <c r="A298" s="396"/>
      <c r="B298" s="199"/>
      <c r="C298" s="626" t="s">
        <v>187</v>
      </c>
      <c r="D298" s="562">
        <v>1905.54</v>
      </c>
      <c r="E298" s="487">
        <f t="shared" si="29"/>
        <v>1903.25</v>
      </c>
      <c r="F298" s="627"/>
      <c r="G298" s="489">
        <f t="shared" si="30"/>
        <v>-2.2899999999999636</v>
      </c>
      <c r="H298" s="490">
        <f>G298/D298*100</f>
        <v>-0.12017590814152228</v>
      </c>
      <c r="I298" s="606" t="s">
        <v>395</v>
      </c>
      <c r="J298" s="215">
        <v>951625</v>
      </c>
      <c r="K298" s="613" t="s">
        <v>299</v>
      </c>
      <c r="L298" s="614" t="s">
        <v>315</v>
      </c>
      <c r="M298" s="615">
        <v>2</v>
      </c>
      <c r="N298" s="615" t="s">
        <v>313</v>
      </c>
      <c r="O298" s="616" t="s">
        <v>317</v>
      </c>
      <c r="P298" s="215">
        <f t="shared" si="27"/>
        <v>1903250</v>
      </c>
      <c r="Q298" s="617" t="s">
        <v>299</v>
      </c>
      <c r="R298" s="622"/>
    </row>
    <row r="299" spans="1:18" ht="17.45" customHeight="1">
      <c r="A299" s="396"/>
      <c r="B299" s="199"/>
      <c r="C299" s="630" t="s">
        <v>273</v>
      </c>
      <c r="D299" s="562">
        <v>34000</v>
      </c>
      <c r="E299" s="487">
        <f t="shared" ref="E299:E309" si="31">P299/1000</f>
        <v>34000</v>
      </c>
      <c r="F299" s="627"/>
      <c r="G299" s="489">
        <f t="shared" si="30"/>
        <v>0</v>
      </c>
      <c r="H299" s="490">
        <f t="shared" ref="H299:H305" si="32">+G299/D299*100</f>
        <v>0</v>
      </c>
      <c r="I299" s="606" t="s">
        <v>56</v>
      </c>
      <c r="J299" s="215">
        <v>8500000</v>
      </c>
      <c r="K299" s="613" t="s">
        <v>299</v>
      </c>
      <c r="L299" s="614" t="s">
        <v>315</v>
      </c>
      <c r="M299" s="615">
        <v>4</v>
      </c>
      <c r="N299" s="615" t="s">
        <v>313</v>
      </c>
      <c r="O299" s="616" t="s">
        <v>317</v>
      </c>
      <c r="P299" s="215">
        <f t="shared" si="27"/>
        <v>34000000</v>
      </c>
      <c r="Q299" s="617" t="s">
        <v>299</v>
      </c>
    </row>
    <row r="300" spans="1:18" ht="17.45" customHeight="1">
      <c r="A300" s="396"/>
      <c r="B300" s="199"/>
      <c r="C300" s="630" t="s">
        <v>432</v>
      </c>
      <c r="D300" s="562">
        <v>3215</v>
      </c>
      <c r="E300" s="487">
        <f t="shared" si="31"/>
        <v>3215</v>
      </c>
      <c r="F300" s="627"/>
      <c r="G300" s="489">
        <f t="shared" si="30"/>
        <v>0</v>
      </c>
      <c r="H300" s="490">
        <f t="shared" si="32"/>
        <v>0</v>
      </c>
      <c r="I300" s="606" t="s">
        <v>395</v>
      </c>
      <c r="J300" s="215">
        <v>1607500</v>
      </c>
      <c r="K300" s="613" t="s">
        <v>299</v>
      </c>
      <c r="L300" s="614" t="s">
        <v>315</v>
      </c>
      <c r="M300" s="615">
        <v>2</v>
      </c>
      <c r="N300" s="615" t="s">
        <v>313</v>
      </c>
      <c r="O300" s="616" t="s">
        <v>317</v>
      </c>
      <c r="P300" s="215">
        <f t="shared" si="27"/>
        <v>3215000</v>
      </c>
      <c r="Q300" s="617" t="s">
        <v>299</v>
      </c>
      <c r="R300" s="622"/>
    </row>
    <row r="301" spans="1:18" ht="17.45" customHeight="1">
      <c r="A301" s="396"/>
      <c r="B301" s="199"/>
      <c r="C301" s="630" t="s">
        <v>277</v>
      </c>
      <c r="D301" s="562">
        <v>5000</v>
      </c>
      <c r="E301" s="487">
        <f t="shared" si="31"/>
        <v>5000</v>
      </c>
      <c r="F301" s="627"/>
      <c r="G301" s="489">
        <f t="shared" si="30"/>
        <v>0</v>
      </c>
      <c r="H301" s="490">
        <f t="shared" si="32"/>
        <v>0</v>
      </c>
      <c r="I301" s="606" t="s">
        <v>56</v>
      </c>
      <c r="J301" s="215">
        <v>1250000</v>
      </c>
      <c r="K301" s="613" t="s">
        <v>299</v>
      </c>
      <c r="L301" s="614" t="s">
        <v>315</v>
      </c>
      <c r="M301" s="615">
        <v>4</v>
      </c>
      <c r="N301" s="615" t="s">
        <v>313</v>
      </c>
      <c r="O301" s="616" t="s">
        <v>317</v>
      </c>
      <c r="P301" s="215">
        <f t="shared" si="27"/>
        <v>5000000</v>
      </c>
      <c r="Q301" s="617" t="s">
        <v>299</v>
      </c>
      <c r="R301" s="622"/>
    </row>
    <row r="302" spans="1:18" ht="17.45" customHeight="1">
      <c r="A302" s="396"/>
      <c r="B302" s="199"/>
      <c r="C302" s="630" t="s">
        <v>445</v>
      </c>
      <c r="D302" s="562">
        <v>53122.94</v>
      </c>
      <c r="E302" s="487">
        <f t="shared" si="31"/>
        <v>54172.94</v>
      </c>
      <c r="F302" s="627"/>
      <c r="G302" s="489">
        <f t="shared" si="30"/>
        <v>1050</v>
      </c>
      <c r="H302" s="490">
        <v>0</v>
      </c>
      <c r="I302" s="625" t="s">
        <v>389</v>
      </c>
      <c r="J302" s="215">
        <v>27086470</v>
      </c>
      <c r="K302" s="613" t="s">
        <v>299</v>
      </c>
      <c r="L302" s="614" t="s">
        <v>315</v>
      </c>
      <c r="M302" s="615">
        <v>2</v>
      </c>
      <c r="N302" s="615" t="s">
        <v>313</v>
      </c>
      <c r="O302" s="616" t="s">
        <v>317</v>
      </c>
      <c r="P302" s="215">
        <f t="shared" si="27"/>
        <v>54172940</v>
      </c>
      <c r="Q302" s="617" t="s">
        <v>299</v>
      </c>
      <c r="R302" s="622"/>
    </row>
    <row r="303" spans="1:18" ht="17.45" customHeight="1">
      <c r="A303" s="513"/>
      <c r="B303" s="263"/>
      <c r="C303" s="630" t="s">
        <v>453</v>
      </c>
      <c r="D303" s="562">
        <v>82184.350000000006</v>
      </c>
      <c r="E303" s="487">
        <f t="shared" si="31"/>
        <v>82184.350000000006</v>
      </c>
      <c r="F303" s="627"/>
      <c r="G303" s="489">
        <f t="shared" si="30"/>
        <v>0</v>
      </c>
      <c r="H303" s="490">
        <f t="shared" si="32"/>
        <v>0</v>
      </c>
      <c r="I303" s="625" t="s">
        <v>405</v>
      </c>
      <c r="J303" s="215">
        <v>16436870</v>
      </c>
      <c r="K303" s="613" t="s">
        <v>299</v>
      </c>
      <c r="L303" s="614" t="s">
        <v>315</v>
      </c>
      <c r="M303" s="615">
        <v>5</v>
      </c>
      <c r="N303" s="615" t="s">
        <v>313</v>
      </c>
      <c r="O303" s="616" t="s">
        <v>317</v>
      </c>
      <c r="P303" s="215">
        <f t="shared" si="27"/>
        <v>82184350</v>
      </c>
      <c r="Q303" s="617" t="s">
        <v>299</v>
      </c>
    </row>
    <row r="304" spans="1:18" ht="17.45" customHeight="1">
      <c r="A304" s="396"/>
      <c r="B304" s="199"/>
      <c r="C304" s="626" t="s">
        <v>163</v>
      </c>
      <c r="D304" s="562">
        <v>13744.999980000001</v>
      </c>
      <c r="E304" s="487">
        <f t="shared" si="31"/>
        <v>14044.999980000001</v>
      </c>
      <c r="F304" s="627"/>
      <c r="G304" s="489">
        <f t="shared" si="30"/>
        <v>300</v>
      </c>
      <c r="H304" s="490">
        <f t="shared" si="32"/>
        <v>2.1826118620336294</v>
      </c>
      <c r="I304" s="606" t="s">
        <v>395</v>
      </c>
      <c r="J304" s="215">
        <v>4681666.66</v>
      </c>
      <c r="K304" s="613" t="s">
        <v>299</v>
      </c>
      <c r="L304" s="614" t="s">
        <v>315</v>
      </c>
      <c r="M304" s="615">
        <v>3</v>
      </c>
      <c r="N304" s="615" t="s">
        <v>313</v>
      </c>
      <c r="O304" s="616" t="s">
        <v>317</v>
      </c>
      <c r="P304" s="215">
        <f t="shared" si="27"/>
        <v>14044999.98</v>
      </c>
      <c r="Q304" s="617" t="s">
        <v>299</v>
      </c>
      <c r="R304" s="622"/>
    </row>
    <row r="305" spans="1:18" ht="17.45" customHeight="1">
      <c r="A305" s="396"/>
      <c r="B305" s="199"/>
      <c r="C305" s="630" t="s">
        <v>425</v>
      </c>
      <c r="D305" s="562">
        <v>300</v>
      </c>
      <c r="E305" s="487">
        <f t="shared" si="31"/>
        <v>300</v>
      </c>
      <c r="F305" s="627"/>
      <c r="G305" s="489">
        <f t="shared" si="30"/>
        <v>0</v>
      </c>
      <c r="H305" s="490">
        <f t="shared" si="32"/>
        <v>0</v>
      </c>
      <c r="I305" s="606" t="s">
        <v>56</v>
      </c>
      <c r="J305" s="215">
        <v>300000</v>
      </c>
      <c r="K305" s="613" t="s">
        <v>299</v>
      </c>
      <c r="L305" s="614" t="s">
        <v>315</v>
      </c>
      <c r="M305" s="615">
        <v>1</v>
      </c>
      <c r="N305" s="615" t="s">
        <v>313</v>
      </c>
      <c r="O305" s="616" t="s">
        <v>317</v>
      </c>
      <c r="P305" s="215">
        <f t="shared" si="27"/>
        <v>300000</v>
      </c>
      <c r="Q305" s="617" t="s">
        <v>299</v>
      </c>
      <c r="R305" s="622"/>
    </row>
    <row r="306" spans="1:18" ht="17.45" customHeight="1">
      <c r="A306" s="396"/>
      <c r="B306" s="199"/>
      <c r="C306" s="630" t="s">
        <v>447</v>
      </c>
      <c r="D306" s="562">
        <v>300</v>
      </c>
      <c r="E306" s="487">
        <f t="shared" si="31"/>
        <v>300</v>
      </c>
      <c r="F306" s="627"/>
      <c r="G306" s="489">
        <f t="shared" si="30"/>
        <v>0</v>
      </c>
      <c r="H306" s="490">
        <f>G306/D306*100</f>
        <v>0</v>
      </c>
      <c r="I306" s="606" t="s">
        <v>56</v>
      </c>
      <c r="J306" s="215">
        <v>300000</v>
      </c>
      <c r="K306" s="613" t="s">
        <v>299</v>
      </c>
      <c r="L306" s="614" t="s">
        <v>315</v>
      </c>
      <c r="M306" s="615">
        <v>1</v>
      </c>
      <c r="N306" s="615" t="s">
        <v>313</v>
      </c>
      <c r="O306" s="616" t="s">
        <v>317</v>
      </c>
      <c r="P306" s="215">
        <f t="shared" si="27"/>
        <v>300000</v>
      </c>
      <c r="Q306" s="617" t="s">
        <v>299</v>
      </c>
      <c r="R306" s="622"/>
    </row>
    <row r="307" spans="1:18" ht="17.45" customHeight="1">
      <c r="A307" s="396"/>
      <c r="B307" s="199"/>
      <c r="C307" s="612" t="s">
        <v>268</v>
      </c>
      <c r="D307" s="562">
        <v>4800</v>
      </c>
      <c r="E307" s="487">
        <f t="shared" si="31"/>
        <v>4800</v>
      </c>
      <c r="F307" s="627"/>
      <c r="G307" s="489">
        <f t="shared" si="30"/>
        <v>0</v>
      </c>
      <c r="H307" s="490">
        <f>G307/D307*100</f>
        <v>0</v>
      </c>
      <c r="I307" s="606" t="s">
        <v>395</v>
      </c>
      <c r="J307" s="215">
        <v>2400000</v>
      </c>
      <c r="K307" s="613" t="s">
        <v>299</v>
      </c>
      <c r="L307" s="614" t="s">
        <v>315</v>
      </c>
      <c r="M307" s="615">
        <v>2</v>
      </c>
      <c r="N307" s="615" t="s">
        <v>313</v>
      </c>
      <c r="O307" s="616" t="s">
        <v>317</v>
      </c>
      <c r="P307" s="215">
        <f t="shared" si="27"/>
        <v>4800000</v>
      </c>
      <c r="Q307" s="617" t="s">
        <v>299</v>
      </c>
      <c r="R307" s="622"/>
    </row>
    <row r="308" spans="1:18" ht="17.45" customHeight="1">
      <c r="A308" s="396"/>
      <c r="B308" s="199"/>
      <c r="C308" s="612" t="s">
        <v>34</v>
      </c>
      <c r="D308" s="562">
        <v>900</v>
      </c>
      <c r="E308" s="487">
        <f t="shared" si="31"/>
        <v>1200</v>
      </c>
      <c r="F308" s="627"/>
      <c r="G308" s="489">
        <f t="shared" si="30"/>
        <v>300</v>
      </c>
      <c r="H308" s="490">
        <f>G308/D308*100</f>
        <v>33.333333333333329</v>
      </c>
      <c r="I308" s="606" t="s">
        <v>56</v>
      </c>
      <c r="J308" s="215">
        <v>1200000</v>
      </c>
      <c r="K308" s="613" t="s">
        <v>299</v>
      </c>
      <c r="L308" s="614" t="s">
        <v>315</v>
      </c>
      <c r="M308" s="615">
        <v>1</v>
      </c>
      <c r="N308" s="615" t="s">
        <v>313</v>
      </c>
      <c r="O308" s="616" t="s">
        <v>317</v>
      </c>
      <c r="P308" s="215">
        <f t="shared" si="27"/>
        <v>1200000</v>
      </c>
      <c r="Q308" s="617" t="s">
        <v>299</v>
      </c>
      <c r="R308" s="622"/>
    </row>
    <row r="309" spans="1:18" ht="17.45" customHeight="1">
      <c r="A309" s="396"/>
      <c r="B309" s="199"/>
      <c r="C309" s="630" t="s">
        <v>470</v>
      </c>
      <c r="D309" s="562">
        <v>300</v>
      </c>
      <c r="E309" s="487">
        <f t="shared" si="31"/>
        <v>300</v>
      </c>
      <c r="F309" s="627"/>
      <c r="G309" s="489">
        <f t="shared" si="30"/>
        <v>0</v>
      </c>
      <c r="H309" s="490">
        <f>G309/D309*100</f>
        <v>0</v>
      </c>
      <c r="I309" s="606" t="s">
        <v>56</v>
      </c>
      <c r="J309" s="215">
        <v>300000</v>
      </c>
      <c r="K309" s="613" t="s">
        <v>299</v>
      </c>
      <c r="L309" s="614" t="s">
        <v>315</v>
      </c>
      <c r="M309" s="615">
        <v>1</v>
      </c>
      <c r="N309" s="615" t="s">
        <v>313</v>
      </c>
      <c r="O309" s="616" t="s">
        <v>317</v>
      </c>
      <c r="P309" s="215">
        <f t="shared" si="27"/>
        <v>300000</v>
      </c>
      <c r="Q309" s="617" t="s">
        <v>299</v>
      </c>
      <c r="R309" s="622"/>
    </row>
    <row r="310" spans="1:18" ht="17.45" customHeight="1">
      <c r="A310" s="396"/>
      <c r="B310" s="199"/>
      <c r="C310" s="626" t="s">
        <v>102</v>
      </c>
      <c r="D310" s="562">
        <v>1800</v>
      </c>
      <c r="E310" s="487">
        <f t="shared" ref="E310:E318" si="33">P310/1000</f>
        <v>12535.75</v>
      </c>
      <c r="F310" s="627"/>
      <c r="G310" s="489">
        <f t="shared" ref="G310:G319" si="34">+E310-D310</f>
        <v>10735.75</v>
      </c>
      <c r="H310" s="490">
        <f t="shared" ref="H310:H318" si="35">+G310/D310*100</f>
        <v>596.43055555555554</v>
      </c>
      <c r="I310" s="606" t="s">
        <v>395</v>
      </c>
      <c r="J310" s="215">
        <v>6267875</v>
      </c>
      <c r="K310" s="613" t="s">
        <v>299</v>
      </c>
      <c r="L310" s="614" t="s">
        <v>315</v>
      </c>
      <c r="M310" s="615">
        <v>2</v>
      </c>
      <c r="N310" s="615" t="s">
        <v>313</v>
      </c>
      <c r="O310" s="616" t="s">
        <v>317</v>
      </c>
      <c r="P310" s="215">
        <f t="shared" si="27"/>
        <v>12535750</v>
      </c>
      <c r="Q310" s="617" t="s">
        <v>299</v>
      </c>
      <c r="R310" s="622"/>
    </row>
    <row r="311" spans="1:18" ht="17.45" customHeight="1">
      <c r="A311" s="396"/>
      <c r="B311" s="199"/>
      <c r="C311" s="626" t="s">
        <v>226</v>
      </c>
      <c r="D311" s="642">
        <v>0</v>
      </c>
      <c r="E311" s="487">
        <f t="shared" si="33"/>
        <v>15670</v>
      </c>
      <c r="F311" s="627"/>
      <c r="G311" s="489">
        <f t="shared" si="34"/>
        <v>15670</v>
      </c>
      <c r="H311" s="639" t="s">
        <v>341</v>
      </c>
      <c r="I311" s="606" t="s">
        <v>395</v>
      </c>
      <c r="J311" s="215">
        <v>3134000</v>
      </c>
      <c r="K311" s="613" t="s">
        <v>299</v>
      </c>
      <c r="L311" s="614" t="s">
        <v>315</v>
      </c>
      <c r="M311" s="615">
        <v>5</v>
      </c>
      <c r="N311" s="615" t="s">
        <v>313</v>
      </c>
      <c r="O311" s="616" t="s">
        <v>317</v>
      </c>
      <c r="P311" s="215">
        <f>J311*M311</f>
        <v>15670000</v>
      </c>
      <c r="Q311" s="617" t="s">
        <v>299</v>
      </c>
      <c r="R311" s="278"/>
    </row>
    <row r="312" spans="1:18" ht="17.45" customHeight="1">
      <c r="A312" s="396"/>
      <c r="B312" s="199"/>
      <c r="C312" s="626" t="s">
        <v>45</v>
      </c>
      <c r="D312" s="642">
        <v>0</v>
      </c>
      <c r="E312" s="487">
        <f t="shared" si="33"/>
        <v>6200</v>
      </c>
      <c r="F312" s="627"/>
      <c r="G312" s="489">
        <f t="shared" si="34"/>
        <v>6200</v>
      </c>
      <c r="H312" s="639" t="s">
        <v>341</v>
      </c>
      <c r="I312" s="606" t="s">
        <v>56</v>
      </c>
      <c r="J312" s="215">
        <v>1550000</v>
      </c>
      <c r="K312" s="613" t="s">
        <v>299</v>
      </c>
      <c r="L312" s="614" t="s">
        <v>315</v>
      </c>
      <c r="M312" s="615">
        <v>4</v>
      </c>
      <c r="N312" s="615" t="s">
        <v>313</v>
      </c>
      <c r="O312" s="616" t="s">
        <v>317</v>
      </c>
      <c r="P312" s="215">
        <f>J312*M312</f>
        <v>6200000</v>
      </c>
      <c r="Q312" s="617" t="s">
        <v>299</v>
      </c>
      <c r="R312" s="622"/>
    </row>
    <row r="313" spans="1:18" ht="17.45" customHeight="1">
      <c r="A313" s="396"/>
      <c r="B313" s="199"/>
      <c r="C313" s="626" t="s">
        <v>199</v>
      </c>
      <c r="D313" s="562">
        <v>10884.349980000001</v>
      </c>
      <c r="E313" s="487">
        <f t="shared" si="33"/>
        <v>10884.349980000001</v>
      </c>
      <c r="F313" s="627"/>
      <c r="G313" s="489">
        <f t="shared" si="34"/>
        <v>0</v>
      </c>
      <c r="H313" s="490">
        <f t="shared" si="35"/>
        <v>0</v>
      </c>
      <c r="I313" s="606" t="s">
        <v>395</v>
      </c>
      <c r="J313" s="215">
        <v>3628116.66</v>
      </c>
      <c r="K313" s="613" t="s">
        <v>299</v>
      </c>
      <c r="L313" s="614" t="s">
        <v>315</v>
      </c>
      <c r="M313" s="615">
        <v>3</v>
      </c>
      <c r="N313" s="615" t="s">
        <v>313</v>
      </c>
      <c r="O313" s="616" t="s">
        <v>317</v>
      </c>
      <c r="P313" s="215">
        <f t="shared" si="27"/>
        <v>10884349.98</v>
      </c>
      <c r="Q313" s="617" t="s">
        <v>299</v>
      </c>
      <c r="R313" s="622"/>
    </row>
    <row r="314" spans="1:18" ht="17.45" customHeight="1">
      <c r="A314" s="396"/>
      <c r="B314" s="199"/>
      <c r="C314" s="603" t="s">
        <v>263</v>
      </c>
      <c r="D314" s="487">
        <v>3800</v>
      </c>
      <c r="E314" s="487">
        <f t="shared" si="33"/>
        <v>3800</v>
      </c>
      <c r="F314" s="605"/>
      <c r="G314" s="489">
        <f t="shared" si="34"/>
        <v>0</v>
      </c>
      <c r="H314" s="490">
        <f t="shared" si="35"/>
        <v>0</v>
      </c>
      <c r="I314" s="606" t="s">
        <v>395</v>
      </c>
      <c r="J314" s="215">
        <v>1900000</v>
      </c>
      <c r="K314" s="613" t="s">
        <v>299</v>
      </c>
      <c r="L314" s="614" t="s">
        <v>315</v>
      </c>
      <c r="M314" s="615">
        <v>2</v>
      </c>
      <c r="N314" s="615" t="s">
        <v>313</v>
      </c>
      <c r="O314" s="616" t="s">
        <v>317</v>
      </c>
      <c r="P314" s="215">
        <f t="shared" si="27"/>
        <v>3800000</v>
      </c>
      <c r="Q314" s="617" t="s">
        <v>299</v>
      </c>
      <c r="R314" s="622"/>
    </row>
    <row r="315" spans="1:18" ht="17.45" customHeight="1">
      <c r="A315" s="396"/>
      <c r="B315" s="199"/>
      <c r="C315" s="603" t="s">
        <v>234</v>
      </c>
      <c r="D315" s="487">
        <v>600</v>
      </c>
      <c r="E315" s="487">
        <f t="shared" si="33"/>
        <v>600</v>
      </c>
      <c r="F315" s="627"/>
      <c r="G315" s="489">
        <f t="shared" si="34"/>
        <v>0</v>
      </c>
      <c r="H315" s="490">
        <f t="shared" si="35"/>
        <v>0</v>
      </c>
      <c r="I315" s="606" t="s">
        <v>56</v>
      </c>
      <c r="J315" s="215">
        <v>600000</v>
      </c>
      <c r="K315" s="613" t="s">
        <v>299</v>
      </c>
      <c r="L315" s="614" t="s">
        <v>315</v>
      </c>
      <c r="M315" s="615">
        <v>1</v>
      </c>
      <c r="N315" s="615" t="s">
        <v>313</v>
      </c>
      <c r="O315" s="616" t="s">
        <v>317</v>
      </c>
      <c r="P315" s="215">
        <f t="shared" si="27"/>
        <v>600000</v>
      </c>
      <c r="Q315" s="617" t="s">
        <v>299</v>
      </c>
      <c r="R315" s="622"/>
    </row>
    <row r="316" spans="1:18" ht="17.45" customHeight="1">
      <c r="A316" s="396"/>
      <c r="B316" s="199"/>
      <c r="C316" s="612" t="s">
        <v>184</v>
      </c>
      <c r="D316" s="487">
        <v>1500</v>
      </c>
      <c r="E316" s="487">
        <f>P316/1000</f>
        <v>0</v>
      </c>
      <c r="F316" s="605"/>
      <c r="G316" s="489">
        <f>+E316-D316</f>
        <v>-1500</v>
      </c>
      <c r="H316" s="490">
        <f>+G316/D316*100</f>
        <v>-100</v>
      </c>
      <c r="I316" s="606" t="s">
        <v>56</v>
      </c>
      <c r="J316" s="215">
        <v>0</v>
      </c>
      <c r="K316" s="613" t="s">
        <v>299</v>
      </c>
      <c r="L316" s="614" t="s">
        <v>315</v>
      </c>
      <c r="M316" s="615">
        <v>1</v>
      </c>
      <c r="N316" s="615" t="s">
        <v>313</v>
      </c>
      <c r="O316" s="616" t="s">
        <v>317</v>
      </c>
      <c r="P316" s="215">
        <f t="shared" si="27"/>
        <v>0</v>
      </c>
      <c r="Q316" s="617" t="s">
        <v>299</v>
      </c>
      <c r="R316" s="622"/>
    </row>
    <row r="317" spans="1:18" ht="17.45" customHeight="1">
      <c r="A317" s="513"/>
      <c r="B317" s="263"/>
      <c r="C317" s="603" t="s">
        <v>131</v>
      </c>
      <c r="D317" s="487">
        <v>10000</v>
      </c>
      <c r="E317" s="487">
        <f t="shared" si="33"/>
        <v>10000</v>
      </c>
      <c r="F317" s="605"/>
      <c r="G317" s="489">
        <f t="shared" si="34"/>
        <v>0</v>
      </c>
      <c r="H317" s="490">
        <f t="shared" si="35"/>
        <v>0</v>
      </c>
      <c r="I317" s="606" t="s">
        <v>56</v>
      </c>
      <c r="J317" s="215">
        <v>5000000</v>
      </c>
      <c r="K317" s="613" t="s">
        <v>299</v>
      </c>
      <c r="L317" s="614" t="s">
        <v>315</v>
      </c>
      <c r="M317" s="615">
        <v>2</v>
      </c>
      <c r="N317" s="615" t="s">
        <v>313</v>
      </c>
      <c r="O317" s="616" t="s">
        <v>317</v>
      </c>
      <c r="P317" s="215">
        <f t="shared" si="27"/>
        <v>10000000</v>
      </c>
      <c r="Q317" s="617" t="s">
        <v>299</v>
      </c>
    </row>
    <row r="318" spans="1:18" ht="17.45" customHeight="1">
      <c r="A318" s="513"/>
      <c r="B318" s="263"/>
      <c r="C318" s="612" t="s">
        <v>249</v>
      </c>
      <c r="D318" s="487">
        <v>110000</v>
      </c>
      <c r="E318" s="487">
        <f t="shared" si="33"/>
        <v>110000</v>
      </c>
      <c r="F318" s="605"/>
      <c r="G318" s="489">
        <f t="shared" si="34"/>
        <v>0</v>
      </c>
      <c r="H318" s="490">
        <f t="shared" si="35"/>
        <v>0</v>
      </c>
      <c r="I318" s="634" t="s">
        <v>136</v>
      </c>
      <c r="J318" s="212">
        <v>110000000</v>
      </c>
      <c r="K318" s="635" t="s">
        <v>299</v>
      </c>
      <c r="L318" s="636" t="s">
        <v>315</v>
      </c>
      <c r="M318" s="637">
        <v>1</v>
      </c>
      <c r="N318" s="637" t="s">
        <v>313</v>
      </c>
      <c r="O318" s="638" t="s">
        <v>317</v>
      </c>
      <c r="P318" s="212">
        <f t="shared" si="27"/>
        <v>110000000</v>
      </c>
      <c r="Q318" s="623" t="s">
        <v>299</v>
      </c>
      <c r="R318" s="622"/>
    </row>
    <row r="319" spans="1:18" ht="21.75" customHeight="1">
      <c r="A319" s="599" t="s">
        <v>325</v>
      </c>
      <c r="B319" s="218" t="s">
        <v>311</v>
      </c>
      <c r="C319" s="257"/>
      <c r="D319" s="643">
        <f>SUM(D320:D330)</f>
        <v>3992533</v>
      </c>
      <c r="E319" s="644">
        <f>P319/1000</f>
        <v>3977052.6749999998</v>
      </c>
      <c r="F319" s="645">
        <f>SUM(F321:F323)</f>
        <v>0</v>
      </c>
      <c r="G319" s="646">
        <f t="shared" si="34"/>
        <v>-15480.325000000186</v>
      </c>
      <c r="H319" s="647">
        <f>+G319/D319*100</f>
        <v>-0.38773192356832581</v>
      </c>
      <c r="I319" s="34"/>
      <c r="J319" s="198"/>
      <c r="K319" s="35"/>
      <c r="L319" s="66"/>
      <c r="M319" s="66" t="s">
        <v>336</v>
      </c>
      <c r="N319" s="66"/>
      <c r="O319" s="66"/>
      <c r="P319" s="198">
        <f>SUM(P320,P324,P328)</f>
        <v>3977052675</v>
      </c>
      <c r="Q319" s="18" t="s">
        <v>299</v>
      </c>
      <c r="R319" s="622"/>
    </row>
    <row r="320" spans="1:18" ht="18.75" customHeight="1">
      <c r="A320" s="548" t="s">
        <v>198</v>
      </c>
      <c r="B320" s="648" t="s">
        <v>292</v>
      </c>
      <c r="C320" s="121" t="s">
        <v>325</v>
      </c>
      <c r="D320" s="649">
        <v>3985629</v>
      </c>
      <c r="E320" s="650">
        <f>(P320/1000)-1</f>
        <v>3962860.798</v>
      </c>
      <c r="F320" s="651"/>
      <c r="G320" s="407">
        <f>E320-D320</f>
        <v>-22768.202000000048</v>
      </c>
      <c r="H320" s="408">
        <f>G320/D320*100</f>
        <v>-0.57125743515013683</v>
      </c>
      <c r="I320" s="425"/>
      <c r="J320" s="198"/>
      <c r="K320" s="35"/>
      <c r="L320" s="66"/>
      <c r="M320" s="66"/>
      <c r="N320" s="66"/>
      <c r="O320" s="66"/>
      <c r="P320" s="198">
        <f>SUM(P321:P323)</f>
        <v>3962861798</v>
      </c>
      <c r="Q320" s="18" t="s">
        <v>299</v>
      </c>
    </row>
    <row r="321" spans="1:17" ht="16.5" customHeight="1">
      <c r="A321" s="396"/>
      <c r="B321" s="652"/>
      <c r="C321" s="473"/>
      <c r="D321" s="653"/>
      <c r="E321" s="654"/>
      <c r="F321" s="651"/>
      <c r="G321" s="411"/>
      <c r="H321" s="412"/>
      <c r="I321" s="655" t="s">
        <v>449</v>
      </c>
      <c r="J321" s="215">
        <v>1646685413</v>
      </c>
      <c r="K321" s="45" t="s">
        <v>299</v>
      </c>
      <c r="L321" s="46" t="s">
        <v>315</v>
      </c>
      <c r="M321" s="29">
        <v>1</v>
      </c>
      <c r="N321" s="29" t="s">
        <v>313</v>
      </c>
      <c r="O321" s="30" t="s">
        <v>317</v>
      </c>
      <c r="P321" s="215">
        <f>+J321*M321</f>
        <v>1646685413</v>
      </c>
      <c r="Q321" s="32" t="s">
        <v>299</v>
      </c>
    </row>
    <row r="322" spans="1:17" ht="16.5" customHeight="1">
      <c r="A322" s="396"/>
      <c r="B322" s="652"/>
      <c r="C322" s="473"/>
      <c r="D322" s="653"/>
      <c r="E322" s="654"/>
      <c r="F322" s="656"/>
      <c r="G322" s="411"/>
      <c r="H322" s="412"/>
      <c r="I322" s="657" t="s">
        <v>109</v>
      </c>
      <c r="J322" s="215">
        <v>866412840</v>
      </c>
      <c r="K322" s="45" t="s">
        <v>299</v>
      </c>
      <c r="L322" s="46" t="s">
        <v>315</v>
      </c>
      <c r="M322" s="29">
        <v>1</v>
      </c>
      <c r="N322" s="29" t="s">
        <v>313</v>
      </c>
      <c r="O322" s="30" t="s">
        <v>317</v>
      </c>
      <c r="P322" s="215">
        <f>+J322*M322</f>
        <v>866412840</v>
      </c>
      <c r="Q322" s="32" t="s">
        <v>299</v>
      </c>
    </row>
    <row r="323" spans="1:17" ht="16.5" customHeight="1">
      <c r="A323" s="396"/>
      <c r="B323" s="652"/>
      <c r="C323" s="515"/>
      <c r="D323" s="658"/>
      <c r="E323" s="659"/>
      <c r="F323" s="518"/>
      <c r="G323" s="416"/>
      <c r="H323" s="417"/>
      <c r="I323" s="660" t="s">
        <v>104</v>
      </c>
      <c r="J323" s="661">
        <v>1449763545</v>
      </c>
      <c r="K323" s="39" t="s">
        <v>299</v>
      </c>
      <c r="L323" s="40" t="s">
        <v>315</v>
      </c>
      <c r="M323" s="41">
        <v>1</v>
      </c>
      <c r="N323" s="41" t="s">
        <v>313</v>
      </c>
      <c r="O323" s="42" t="s">
        <v>317</v>
      </c>
      <c r="P323" s="212">
        <f>+J323*M323</f>
        <v>1449763545</v>
      </c>
      <c r="Q323" s="43" t="s">
        <v>299</v>
      </c>
    </row>
    <row r="324" spans="1:17" ht="18.75" hidden="1" customHeight="1">
      <c r="A324" s="548"/>
      <c r="B324" s="652"/>
      <c r="C324" s="121" t="s">
        <v>162</v>
      </c>
      <c r="D324" s="649">
        <v>0</v>
      </c>
      <c r="E324" s="650">
        <f>P324/1000</f>
        <v>0</v>
      </c>
      <c r="F324" s="651"/>
      <c r="G324" s="407">
        <f>E324-D324</f>
        <v>0</v>
      </c>
      <c r="H324" s="408" t="e">
        <f>G324/D324*100</f>
        <v>#DIV/0!</v>
      </c>
      <c r="I324" s="425"/>
      <c r="J324" s="198"/>
      <c r="K324" s="35"/>
      <c r="L324" s="66"/>
      <c r="M324" s="66"/>
      <c r="N324" s="66"/>
      <c r="O324" s="66"/>
      <c r="P324" s="198">
        <f>SUM(P325:P327)</f>
        <v>0</v>
      </c>
      <c r="Q324" s="18" t="s">
        <v>299</v>
      </c>
    </row>
    <row r="325" spans="1:17" ht="16.5" hidden="1" customHeight="1">
      <c r="A325" s="396"/>
      <c r="B325" s="652"/>
      <c r="C325" s="473"/>
      <c r="D325" s="653"/>
      <c r="E325" s="654"/>
      <c r="F325" s="651"/>
      <c r="G325" s="411"/>
      <c r="H325" s="412"/>
      <c r="I325" s="655" t="s">
        <v>368</v>
      </c>
      <c r="J325" s="215">
        <v>0</v>
      </c>
      <c r="K325" s="45" t="s">
        <v>299</v>
      </c>
      <c r="L325" s="46" t="s">
        <v>315</v>
      </c>
      <c r="M325" s="29">
        <v>1</v>
      </c>
      <c r="N325" s="29" t="s">
        <v>313</v>
      </c>
      <c r="O325" s="30" t="s">
        <v>317</v>
      </c>
      <c r="P325" s="215">
        <f>+J325*M325</f>
        <v>0</v>
      </c>
      <c r="Q325" s="32" t="s">
        <v>299</v>
      </c>
    </row>
    <row r="326" spans="1:17" ht="16.5" hidden="1" customHeight="1">
      <c r="A326" s="396"/>
      <c r="B326" s="652"/>
      <c r="C326" s="473"/>
      <c r="D326" s="653"/>
      <c r="E326" s="654"/>
      <c r="F326" s="656"/>
      <c r="G326" s="411"/>
      <c r="H326" s="412"/>
      <c r="I326" s="657" t="s">
        <v>458</v>
      </c>
      <c r="J326" s="215">
        <v>0</v>
      </c>
      <c r="K326" s="45" t="s">
        <v>299</v>
      </c>
      <c r="L326" s="46" t="s">
        <v>315</v>
      </c>
      <c r="M326" s="29">
        <v>1</v>
      </c>
      <c r="N326" s="29" t="s">
        <v>313</v>
      </c>
      <c r="O326" s="30" t="s">
        <v>317</v>
      </c>
      <c r="P326" s="215">
        <f>+J326*M326</f>
        <v>0</v>
      </c>
      <c r="Q326" s="32" t="s">
        <v>299</v>
      </c>
    </row>
    <row r="327" spans="1:17" ht="16.5" hidden="1" customHeight="1">
      <c r="A327" s="396"/>
      <c r="B327" s="652"/>
      <c r="C327" s="515"/>
      <c r="D327" s="658"/>
      <c r="E327" s="659"/>
      <c r="F327" s="518"/>
      <c r="G327" s="416"/>
      <c r="H327" s="417"/>
      <c r="I327" s="660" t="s">
        <v>162</v>
      </c>
      <c r="J327" s="661">
        <v>0</v>
      </c>
      <c r="K327" s="39" t="s">
        <v>299</v>
      </c>
      <c r="L327" s="40" t="s">
        <v>315</v>
      </c>
      <c r="M327" s="41">
        <v>1</v>
      </c>
      <c r="N327" s="41" t="s">
        <v>313</v>
      </c>
      <c r="O327" s="42" t="s">
        <v>317</v>
      </c>
      <c r="P327" s="212">
        <f>+J327*M327</f>
        <v>0</v>
      </c>
      <c r="Q327" s="43" t="s">
        <v>299</v>
      </c>
    </row>
    <row r="328" spans="1:17" ht="16.5" customHeight="1">
      <c r="A328" s="396"/>
      <c r="B328" s="652"/>
      <c r="C328" s="121" t="s">
        <v>339</v>
      </c>
      <c r="D328" s="650">
        <v>6904</v>
      </c>
      <c r="E328" s="418">
        <f>P328/1000</f>
        <v>14190.877</v>
      </c>
      <c r="F328" s="662"/>
      <c r="G328" s="407">
        <f>E328-D328</f>
        <v>7286.8770000000004</v>
      </c>
      <c r="H328" s="408">
        <f>G328/D328*100</f>
        <v>105.5457271147161</v>
      </c>
      <c r="I328" s="425"/>
      <c r="J328" s="23"/>
      <c r="K328" s="35"/>
      <c r="L328" s="36"/>
      <c r="M328" s="66" t="s">
        <v>336</v>
      </c>
      <c r="N328" s="66"/>
      <c r="O328" s="66"/>
      <c r="P328" s="198">
        <f>SUM(P329:P330)</f>
        <v>14190877</v>
      </c>
      <c r="Q328" s="18" t="s">
        <v>299</v>
      </c>
    </row>
    <row r="329" spans="1:17" ht="16.5" customHeight="1">
      <c r="A329" s="396"/>
      <c r="B329" s="652"/>
      <c r="C329" s="473"/>
      <c r="D329" s="654"/>
      <c r="E329" s="421"/>
      <c r="F329" s="663"/>
      <c r="G329" s="411"/>
      <c r="H329" s="412"/>
      <c r="I329" s="440" t="s">
        <v>11</v>
      </c>
      <c r="J329" s="31">
        <v>3451813.5</v>
      </c>
      <c r="K329" s="45" t="s">
        <v>299</v>
      </c>
      <c r="L329" s="46" t="s">
        <v>315</v>
      </c>
      <c r="M329" s="29">
        <v>2</v>
      </c>
      <c r="N329" s="29" t="s">
        <v>313</v>
      </c>
      <c r="O329" s="30" t="s">
        <v>317</v>
      </c>
      <c r="P329" s="231">
        <f>+J329*M329</f>
        <v>6903627</v>
      </c>
      <c r="Q329" s="32" t="s">
        <v>299</v>
      </c>
    </row>
    <row r="330" spans="1:17" ht="16.5" customHeight="1">
      <c r="A330" s="664"/>
      <c r="B330" s="665"/>
      <c r="C330" s="666"/>
      <c r="D330" s="667"/>
      <c r="E330" s="668"/>
      <c r="F330" s="669"/>
      <c r="G330" s="670"/>
      <c r="H330" s="671"/>
      <c r="I330" s="672" t="s">
        <v>462</v>
      </c>
      <c r="J330" s="673">
        <v>7287250</v>
      </c>
      <c r="K330" s="674" t="s">
        <v>299</v>
      </c>
      <c r="L330" s="347" t="s">
        <v>315</v>
      </c>
      <c r="M330" s="346">
        <v>1</v>
      </c>
      <c r="N330" s="346" t="s">
        <v>313</v>
      </c>
      <c r="O330" s="348" t="s">
        <v>317</v>
      </c>
      <c r="P330" s="675">
        <f>+J330*M330</f>
        <v>7287250</v>
      </c>
      <c r="Q330" s="349" t="s">
        <v>299</v>
      </c>
    </row>
    <row r="331" spans="1:17" ht="16.5" customHeight="1">
      <c r="A331" s="676"/>
      <c r="B331" s="677"/>
      <c r="C331" s="678"/>
      <c r="D331" s="679"/>
      <c r="E331" s="680"/>
      <c r="F331" s="681"/>
      <c r="G331" s="682"/>
      <c r="H331" s="683"/>
      <c r="I331" s="471"/>
      <c r="J331" s="31"/>
      <c r="K331" s="45"/>
      <c r="L331" s="46"/>
      <c r="M331" s="29"/>
      <c r="N331" s="29"/>
      <c r="O331" s="30"/>
      <c r="P331" s="231"/>
      <c r="Q331" s="45"/>
    </row>
    <row r="332" spans="1:17">
      <c r="A332" s="676"/>
      <c r="B332" s="684"/>
      <c r="C332" s="684"/>
      <c r="D332" s="680"/>
      <c r="E332" s="676"/>
      <c r="G332" s="682"/>
      <c r="H332" s="685"/>
      <c r="I332" s="686"/>
      <c r="J332" s="215"/>
      <c r="K332" s="45"/>
      <c r="L332" s="29"/>
      <c r="M332" s="29"/>
      <c r="N332" s="29"/>
      <c r="O332" s="29"/>
      <c r="P332" s="215"/>
      <c r="Q332" s="45"/>
    </row>
    <row r="333" spans="1:17">
      <c r="A333" s="676"/>
      <c r="B333" s="684"/>
      <c r="C333" s="684"/>
      <c r="D333" s="680"/>
      <c r="E333" s="676"/>
      <c r="G333" s="682"/>
      <c r="H333" s="685"/>
      <c r="I333" s="687"/>
      <c r="J333" s="215"/>
      <c r="K333" s="45"/>
      <c r="L333" s="29"/>
      <c r="M333" s="29"/>
      <c r="N333" s="29"/>
      <c r="O333" s="29"/>
      <c r="P333" s="215"/>
      <c r="Q333" s="45"/>
    </row>
    <row r="334" spans="1:17" ht="9.75" customHeight="1">
      <c r="A334" s="676"/>
      <c r="G334" s="682"/>
      <c r="H334" s="685"/>
      <c r="I334" s="442"/>
    </row>
    <row r="335" spans="1:17" ht="21.75" customHeight="1">
      <c r="G335" s="682"/>
      <c r="H335" s="685"/>
      <c r="I335" s="442"/>
    </row>
    <row r="337" spans="9:9">
      <c r="I337" s="688"/>
    </row>
    <row r="338" spans="9:9">
      <c r="I338" s="688"/>
    </row>
  </sheetData>
  <mergeCells count="390">
    <mergeCell ref="D220:D221"/>
    <mergeCell ref="E220:E221"/>
    <mergeCell ref="M182:O182"/>
    <mergeCell ref="E182:E185"/>
    <mergeCell ref="E143:E146"/>
    <mergeCell ref="F173:F174"/>
    <mergeCell ref="E173:E174"/>
    <mergeCell ref="F176:F177"/>
    <mergeCell ref="H162:H163"/>
    <mergeCell ref="M173:O173"/>
    <mergeCell ref="H176:H177"/>
    <mergeCell ref="H165:H168"/>
    <mergeCell ref="G173:G174"/>
    <mergeCell ref="F182:F185"/>
    <mergeCell ref="F165:F168"/>
    <mergeCell ref="G165:G168"/>
    <mergeCell ref="M139:O139"/>
    <mergeCell ref="M169:O169"/>
    <mergeCell ref="D169:D172"/>
    <mergeCell ref="F93:F98"/>
    <mergeCell ref="H86:H89"/>
    <mergeCell ref="G86:G89"/>
    <mergeCell ref="F86:F89"/>
    <mergeCell ref="F90:F92"/>
    <mergeCell ref="F80:F81"/>
    <mergeCell ref="M85:O85"/>
    <mergeCell ref="M86:O86"/>
    <mergeCell ref="G93:G98"/>
    <mergeCell ref="G90:G92"/>
    <mergeCell ref="H93:H98"/>
    <mergeCell ref="H90:H92"/>
    <mergeCell ref="M36:O36"/>
    <mergeCell ref="M40:O40"/>
    <mergeCell ref="M43:O43"/>
    <mergeCell ref="M52:O52"/>
    <mergeCell ref="G80:G81"/>
    <mergeCell ref="H78:H79"/>
    <mergeCell ref="H80:H81"/>
    <mergeCell ref="F78:F79"/>
    <mergeCell ref="H67:H73"/>
    <mergeCell ref="F82:F83"/>
    <mergeCell ref="G74:G76"/>
    <mergeCell ref="H63:H66"/>
    <mergeCell ref="H59:H62"/>
    <mergeCell ref="H82:H83"/>
    <mergeCell ref="E59:E62"/>
    <mergeCell ref="D59:D62"/>
    <mergeCell ref="G59:G62"/>
    <mergeCell ref="H74:H76"/>
    <mergeCell ref="G67:G73"/>
    <mergeCell ref="D36:D39"/>
    <mergeCell ref="E36:E39"/>
    <mergeCell ref="M67:O67"/>
    <mergeCell ref="M63:O63"/>
    <mergeCell ref="M74:O74"/>
    <mergeCell ref="F63:F66"/>
    <mergeCell ref="F74:F76"/>
    <mergeCell ref="G63:G66"/>
    <mergeCell ref="E67:E73"/>
    <mergeCell ref="E40:E42"/>
    <mergeCell ref="E43:E48"/>
    <mergeCell ref="D50:D51"/>
    <mergeCell ref="D43:D48"/>
    <mergeCell ref="E50:E51"/>
    <mergeCell ref="M59:O59"/>
    <mergeCell ref="E63:E66"/>
    <mergeCell ref="D74:D76"/>
    <mergeCell ref="E74:E76"/>
    <mergeCell ref="D23:D28"/>
    <mergeCell ref="M28:N28"/>
    <mergeCell ref="H29:H34"/>
    <mergeCell ref="F50:F51"/>
    <mergeCell ref="G50:G51"/>
    <mergeCell ref="G43:G48"/>
    <mergeCell ref="F43:F48"/>
    <mergeCell ref="F52:F58"/>
    <mergeCell ref="H52:H58"/>
    <mergeCell ref="G52:G58"/>
    <mergeCell ref="H43:H48"/>
    <mergeCell ref="G29:G34"/>
    <mergeCell ref="F29:F33"/>
    <mergeCell ref="F36:F38"/>
    <mergeCell ref="H40:H42"/>
    <mergeCell ref="G40:G42"/>
    <mergeCell ref="H50:H51"/>
    <mergeCell ref="G36:G39"/>
    <mergeCell ref="H36:H39"/>
    <mergeCell ref="D52:D58"/>
    <mergeCell ref="G13:G20"/>
    <mergeCell ref="E8:E12"/>
    <mergeCell ref="G8:G12"/>
    <mergeCell ref="E13:E20"/>
    <mergeCell ref="E23:E28"/>
    <mergeCell ref="E21:E22"/>
    <mergeCell ref="F23:F28"/>
    <mergeCell ref="M24:N24"/>
    <mergeCell ref="M25:N25"/>
    <mergeCell ref="M21:O21"/>
    <mergeCell ref="H21:H22"/>
    <mergeCell ref="M26:N26"/>
    <mergeCell ref="F21:F22"/>
    <mergeCell ref="G21:G22"/>
    <mergeCell ref="H23:H28"/>
    <mergeCell ref="H13:H20"/>
    <mergeCell ref="H8:H12"/>
    <mergeCell ref="M27:N27"/>
    <mergeCell ref="M23:O23"/>
    <mergeCell ref="G23:G28"/>
    <mergeCell ref="C59:C62"/>
    <mergeCell ref="C63:C66"/>
    <mergeCell ref="C123:C127"/>
    <mergeCell ref="E29:E34"/>
    <mergeCell ref="F59:F62"/>
    <mergeCell ref="C78:C79"/>
    <mergeCell ref="C52:C58"/>
    <mergeCell ref="C86:C89"/>
    <mergeCell ref="D86:D89"/>
    <mergeCell ref="E99:E100"/>
    <mergeCell ref="E82:E83"/>
    <mergeCell ref="C101:C102"/>
    <mergeCell ref="E90:E92"/>
    <mergeCell ref="E101:E102"/>
    <mergeCell ref="B84:C84"/>
    <mergeCell ref="C80:C81"/>
    <mergeCell ref="D93:D98"/>
    <mergeCell ref="C104:C106"/>
    <mergeCell ref="E80:E81"/>
    <mergeCell ref="D29:D34"/>
    <mergeCell ref="E52:E58"/>
    <mergeCell ref="D104:D106"/>
    <mergeCell ref="D107:D109"/>
    <mergeCell ref="D63:D66"/>
    <mergeCell ref="C3:C4"/>
    <mergeCell ref="D3:D4"/>
    <mergeCell ref="F13:F19"/>
    <mergeCell ref="D21:D22"/>
    <mergeCell ref="C21:C22"/>
    <mergeCell ref="E3:E4"/>
    <mergeCell ref="A5:C5"/>
    <mergeCell ref="C8:C12"/>
    <mergeCell ref="D8:D12"/>
    <mergeCell ref="B3:B4"/>
    <mergeCell ref="D13:D20"/>
    <mergeCell ref="C67:C73"/>
    <mergeCell ref="D67:D73"/>
    <mergeCell ref="D324:D327"/>
    <mergeCell ref="C328:C330"/>
    <mergeCell ref="C320:C323"/>
    <mergeCell ref="B222:C222"/>
    <mergeCell ref="D320:D323"/>
    <mergeCell ref="B319:C319"/>
    <mergeCell ref="D328:D330"/>
    <mergeCell ref="C193:C194"/>
    <mergeCell ref="D199:D203"/>
    <mergeCell ref="C199:C203"/>
    <mergeCell ref="D212:D214"/>
    <mergeCell ref="C212:C214"/>
    <mergeCell ref="C74:C76"/>
    <mergeCell ref="D128:D129"/>
    <mergeCell ref="D114:D116"/>
    <mergeCell ref="D187:D192"/>
    <mergeCell ref="D135:D136"/>
    <mergeCell ref="D80:D81"/>
    <mergeCell ref="D90:D92"/>
    <mergeCell ref="D101:D102"/>
    <mergeCell ref="D99:D100"/>
    <mergeCell ref="B77:C77"/>
    <mergeCell ref="C324:C327"/>
    <mergeCell ref="E187:E192"/>
    <mergeCell ref="E205:E211"/>
    <mergeCell ref="E135:E136"/>
    <mergeCell ref="E86:E89"/>
    <mergeCell ref="E165:E168"/>
    <mergeCell ref="D143:D146"/>
    <mergeCell ref="C169:C172"/>
    <mergeCell ref="C178:C180"/>
    <mergeCell ref="D205:D211"/>
    <mergeCell ref="C165:C168"/>
    <mergeCell ref="C173:C174"/>
    <mergeCell ref="D173:D174"/>
    <mergeCell ref="D178:D180"/>
    <mergeCell ref="E162:E163"/>
    <mergeCell ref="E193:E194"/>
    <mergeCell ref="D148:D156"/>
    <mergeCell ref="E196:E198"/>
    <mergeCell ref="C182:C185"/>
    <mergeCell ref="C187:C192"/>
    <mergeCell ref="E148:E156"/>
    <mergeCell ref="C157:C161"/>
    <mergeCell ref="C143:C146"/>
    <mergeCell ref="C137:C138"/>
    <mergeCell ref="C135:C136"/>
    <mergeCell ref="E107:E109"/>
    <mergeCell ref="E110:E113"/>
    <mergeCell ref="E114:E116"/>
    <mergeCell ref="E117:E119"/>
    <mergeCell ref="E121:E122"/>
    <mergeCell ref="D123:D127"/>
    <mergeCell ref="E128:E129"/>
    <mergeCell ref="D121:D122"/>
    <mergeCell ref="C107:C109"/>
    <mergeCell ref="C117:C119"/>
    <mergeCell ref="C128:C129"/>
    <mergeCell ref="E78:E79"/>
    <mergeCell ref="D78:D79"/>
    <mergeCell ref="E123:E127"/>
    <mergeCell ref="D130:D134"/>
    <mergeCell ref="E130:E134"/>
    <mergeCell ref="D117:D119"/>
    <mergeCell ref="E93:E98"/>
    <mergeCell ref="E104:E106"/>
    <mergeCell ref="C130:C134"/>
    <mergeCell ref="B181:B182"/>
    <mergeCell ref="B219:C219"/>
    <mergeCell ref="E169:E172"/>
    <mergeCell ref="M193:O193"/>
    <mergeCell ref="G176:G177"/>
    <mergeCell ref="G137:G138"/>
    <mergeCell ref="G148:G156"/>
    <mergeCell ref="H148:H156"/>
    <mergeCell ref="G157:G161"/>
    <mergeCell ref="G162:G163"/>
    <mergeCell ref="H137:H138"/>
    <mergeCell ref="H143:H146"/>
    <mergeCell ref="G143:G146"/>
    <mergeCell ref="H178:H180"/>
    <mergeCell ref="H173:H174"/>
    <mergeCell ref="H182:H185"/>
    <mergeCell ref="M178:O178"/>
    <mergeCell ref="G169:G172"/>
    <mergeCell ref="H169:H172"/>
    <mergeCell ref="C205:C211"/>
    <mergeCell ref="C196:C198"/>
    <mergeCell ref="D157:D161"/>
    <mergeCell ref="I216:J216"/>
    <mergeCell ref="M205:O205"/>
    <mergeCell ref="M220:O220"/>
    <mergeCell ref="M199:O199"/>
    <mergeCell ref="M212:O212"/>
    <mergeCell ref="M216:O216"/>
    <mergeCell ref="M176:O176"/>
    <mergeCell ref="M165:O165"/>
    <mergeCell ref="M187:O187"/>
    <mergeCell ref="M196:O196"/>
    <mergeCell ref="E178:E180"/>
    <mergeCell ref="D165:D168"/>
    <mergeCell ref="D176:D177"/>
    <mergeCell ref="E176:E177"/>
    <mergeCell ref="D162:D163"/>
    <mergeCell ref="E157:E161"/>
    <mergeCell ref="C162:C163"/>
    <mergeCell ref="E137:E138"/>
    <mergeCell ref="C176:C177"/>
    <mergeCell ref="C148:C156"/>
    <mergeCell ref="E139:E142"/>
    <mergeCell ref="C139:C142"/>
    <mergeCell ref="D139:D142"/>
    <mergeCell ref="O2:Q2"/>
    <mergeCell ref="M121:O121"/>
    <mergeCell ref="M120:O120"/>
    <mergeCell ref="M148:O148"/>
    <mergeCell ref="M162:O162"/>
    <mergeCell ref="M143:O143"/>
    <mergeCell ref="M157:O157"/>
    <mergeCell ref="M137:O137"/>
    <mergeCell ref="M99:O99"/>
    <mergeCell ref="M90:O90"/>
    <mergeCell ref="M117:O117"/>
    <mergeCell ref="M93:O93"/>
    <mergeCell ref="M103:O103"/>
    <mergeCell ref="M114:O114"/>
    <mergeCell ref="M123:O123"/>
    <mergeCell ref="M130:O130"/>
    <mergeCell ref="M135:O135"/>
    <mergeCell ref="I3:Q4"/>
    <mergeCell ref="G3:H3"/>
    <mergeCell ref="F3:F4"/>
    <mergeCell ref="M13:O13"/>
    <mergeCell ref="H99:H100"/>
    <mergeCell ref="F148:F154"/>
    <mergeCell ref="H121:H122"/>
    <mergeCell ref="M104:O104"/>
    <mergeCell ref="G104:G106"/>
    <mergeCell ref="H107:H109"/>
    <mergeCell ref="H101:H102"/>
    <mergeCell ref="M101:O101"/>
    <mergeCell ref="H117:H119"/>
    <mergeCell ref="F110:F112"/>
    <mergeCell ref="M107:O107"/>
    <mergeCell ref="G114:G116"/>
    <mergeCell ref="H114:H116"/>
    <mergeCell ref="M110:O110"/>
    <mergeCell ref="G110:G113"/>
    <mergeCell ref="G121:G122"/>
    <mergeCell ref="M128:O128"/>
    <mergeCell ref="F128:F129"/>
    <mergeCell ref="F104:F106"/>
    <mergeCell ref="G82:G83"/>
    <mergeCell ref="G78:G79"/>
    <mergeCell ref="A1:B1"/>
    <mergeCell ref="D193:D194"/>
    <mergeCell ref="A2:B2"/>
    <mergeCell ref="A3:A4"/>
    <mergeCell ref="B6:C6"/>
    <mergeCell ref="C114:C116"/>
    <mergeCell ref="D137:D138"/>
    <mergeCell ref="D40:D42"/>
    <mergeCell ref="C29:C34"/>
    <mergeCell ref="D82:D83"/>
    <mergeCell ref="C99:C100"/>
    <mergeCell ref="C50:C51"/>
    <mergeCell ref="C43:C48"/>
    <mergeCell ref="C93:C98"/>
    <mergeCell ref="C82:C83"/>
    <mergeCell ref="C90:C92"/>
    <mergeCell ref="C23:C28"/>
    <mergeCell ref="C13:C20"/>
    <mergeCell ref="C40:C42"/>
    <mergeCell ref="C110:C113"/>
    <mergeCell ref="D182:D185"/>
    <mergeCell ref="D110:D113"/>
    <mergeCell ref="C36:C39"/>
    <mergeCell ref="C121:C122"/>
    <mergeCell ref="F107:F109"/>
    <mergeCell ref="G107:G109"/>
    <mergeCell ref="H110:H113"/>
    <mergeCell ref="F157:F161"/>
    <mergeCell ref="G178:G180"/>
    <mergeCell ref="F137:F138"/>
    <mergeCell ref="F117:F119"/>
    <mergeCell ref="F121:F122"/>
    <mergeCell ref="F178:F180"/>
    <mergeCell ref="G123:G127"/>
    <mergeCell ref="H123:H127"/>
    <mergeCell ref="G130:G134"/>
    <mergeCell ref="H130:H134"/>
    <mergeCell ref="F143:F144"/>
    <mergeCell ref="G117:G119"/>
    <mergeCell ref="F135:F136"/>
    <mergeCell ref="H135:H136"/>
    <mergeCell ref="G128:G129"/>
    <mergeCell ref="H128:H129"/>
    <mergeCell ref="G99:G100"/>
    <mergeCell ref="H157:H161"/>
    <mergeCell ref="G328:G330"/>
    <mergeCell ref="H320:H323"/>
    <mergeCell ref="G320:G323"/>
    <mergeCell ref="G182:G185"/>
    <mergeCell ref="H205:H211"/>
    <mergeCell ref="H199:H203"/>
    <mergeCell ref="G187:G192"/>
    <mergeCell ref="H104:H106"/>
    <mergeCell ref="H212:H214"/>
    <mergeCell ref="G196:G198"/>
    <mergeCell ref="G205:G211"/>
    <mergeCell ref="G199:G203"/>
    <mergeCell ref="G135:G136"/>
    <mergeCell ref="G101:G102"/>
    <mergeCell ref="H196:H198"/>
    <mergeCell ref="G220:G221"/>
    <mergeCell ref="H220:H221"/>
    <mergeCell ref="G216:G218"/>
    <mergeCell ref="H193:H194"/>
    <mergeCell ref="G212:G214"/>
    <mergeCell ref="H139:H142"/>
    <mergeCell ref="G139:G142"/>
    <mergeCell ref="E328:E330"/>
    <mergeCell ref="H328:H330"/>
    <mergeCell ref="H187:H192"/>
    <mergeCell ref="G193:G194"/>
    <mergeCell ref="E324:E327"/>
    <mergeCell ref="G324:G327"/>
    <mergeCell ref="H324:H327"/>
    <mergeCell ref="B320:B330"/>
    <mergeCell ref="E212:E214"/>
    <mergeCell ref="E199:E203"/>
    <mergeCell ref="F216:F217"/>
    <mergeCell ref="F193:F194"/>
    <mergeCell ref="F199:F203"/>
    <mergeCell ref="F212:F214"/>
    <mergeCell ref="F196:F198"/>
    <mergeCell ref="C216:C218"/>
    <mergeCell ref="H216:H218"/>
    <mergeCell ref="F205:F210"/>
    <mergeCell ref="F187:F188"/>
    <mergeCell ref="E320:E323"/>
    <mergeCell ref="C220:C221"/>
    <mergeCell ref="E216:E218"/>
    <mergeCell ref="D196:D198"/>
    <mergeCell ref="D216:D218"/>
  </mergeCells>
  <phoneticPr fontId="6" type="noConversion"/>
  <pageMargins left="0.31496062992125984" right="0.23622047244094491" top="0.47244094488188981" bottom="0.19685039370078741" header="0.39370078740157483" footer="0.19685039370078741"/>
  <pageSetup paperSize="9" scale="92" firstPageNumber="5" fitToWidth="14" fitToHeight="14" orientation="landscape" useFirstPageNumber="1" r:id="rId1"/>
  <headerFooter>
    <oddFooter>&amp;C&amp;"맑은 고딕,Regular"&amp;P</oddFooter>
  </headerFooter>
  <rowBreaks count="11" manualBreakCount="11">
    <brk id="34" max="1048575" man="1"/>
    <brk id="66" max="1048575" man="1"/>
    <brk id="92" max="1048575" man="1"/>
    <brk id="119" max="1048575" man="1"/>
    <brk id="146" max="1048575" man="1"/>
    <brk id="174" max="1048575" man="1"/>
    <brk id="203" max="1048575" man="1"/>
    <brk id="232" max="1048575" man="1"/>
    <brk id="260" max="1048575" man="1"/>
    <brk id="288" max="1048575" man="1"/>
    <brk id="31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세입내역</vt:lpstr>
      <vt:lpstr>세출내역</vt:lpstr>
      <vt:lpstr>세입내역!Print_Area</vt:lpstr>
      <vt:lpstr>세출내역!Print_Area</vt:lpstr>
      <vt:lpstr>예산총칙!Print_Area</vt:lpstr>
      <vt:lpstr>세입내역!Print_Titles</vt:lpstr>
      <vt:lpstr>세출내역!Print_Titles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23</cp:revision>
  <cp:lastPrinted>2021-10-12T07:28:10Z</cp:lastPrinted>
  <dcterms:created xsi:type="dcterms:W3CDTF">2009-12-07T05:26:05Z</dcterms:created>
  <dcterms:modified xsi:type="dcterms:W3CDTF">2021-10-28T07:27:38Z</dcterms:modified>
  <cp:version>1100.0100.01</cp:version>
</cp:coreProperties>
</file>