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1년\공문\공문첨부\"/>
    </mc:Choice>
  </mc:AlternateContent>
  <xr:revisionPtr revIDLastSave="0" documentId="13_ncr:1_{A2B25720-7BCF-4537-807C-31897B031ABC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예산총칙" sheetId="2" r:id="rId1"/>
    <sheet name="세입명세" sheetId="6" r:id="rId2"/>
    <sheet name="세출명세" sheetId="7" r:id="rId3"/>
  </sheets>
  <definedNames>
    <definedName name="_xlnm.Print_Area" localSheetId="1">세입명세!$A$1:$Q$90</definedName>
    <definedName name="_xlnm.Print_Area" localSheetId="2">세출명세!$A$1:$Q$308</definedName>
    <definedName name="_xlnm.Print_Area" localSheetId="0">예산총칙!$A$1:$P$24</definedName>
    <definedName name="_xlnm.Print_Titles" localSheetId="1">세입명세!$4:$5</definedName>
    <definedName name="_xlnm.Print_Titles" localSheetId="2">세출명세!$3:$4</definedName>
  </definedNames>
  <calcPr calcId="191029"/>
</workbook>
</file>

<file path=xl/calcChain.xml><?xml version="1.0" encoding="utf-8"?>
<calcChain xmlns="http://schemas.openxmlformats.org/spreadsheetml/2006/main">
  <c r="H286" i="7" l="1"/>
  <c r="H287" i="7"/>
  <c r="P65" i="7" l="1"/>
  <c r="P305" i="7" l="1"/>
  <c r="P304" i="7"/>
  <c r="P303" i="7"/>
  <c r="P302" i="7" l="1"/>
  <c r="P43" i="6"/>
  <c r="P44" i="7"/>
  <c r="G162" i="7" l="1"/>
  <c r="P308" i="7" l="1"/>
  <c r="P307" i="7"/>
  <c r="P306" i="7" s="1"/>
  <c r="E306" i="7" s="1"/>
  <c r="P301" i="7"/>
  <c r="P300" i="7"/>
  <c r="P299" i="7"/>
  <c r="F297" i="7"/>
  <c r="D297" i="7"/>
  <c r="P293" i="7"/>
  <c r="E293" i="7" s="1"/>
  <c r="P292" i="7"/>
  <c r="E292" i="7" s="1"/>
  <c r="G292" i="7" s="1"/>
  <c r="H292" i="7" s="1"/>
  <c r="P291" i="7"/>
  <c r="E291" i="7" s="1"/>
  <c r="G291" i="7" s="1"/>
  <c r="P290" i="7"/>
  <c r="E290" i="7" s="1"/>
  <c r="P289" i="7"/>
  <c r="E289" i="7" s="1"/>
  <c r="P288" i="7"/>
  <c r="E288" i="7" s="1"/>
  <c r="P287" i="7"/>
  <c r="E287" i="7" s="1"/>
  <c r="P286" i="7"/>
  <c r="E286" i="7" s="1"/>
  <c r="P285" i="7"/>
  <c r="E285" i="7" s="1"/>
  <c r="G285" i="7" s="1"/>
  <c r="H285" i="7" s="1"/>
  <c r="P284" i="7"/>
  <c r="E284" i="7" s="1"/>
  <c r="G284" i="7" s="1"/>
  <c r="H284" i="7" s="1"/>
  <c r="P283" i="7"/>
  <c r="E283" i="7" s="1"/>
  <c r="G283" i="7" s="1"/>
  <c r="H283" i="7" s="1"/>
  <c r="P282" i="7"/>
  <c r="E282" i="7" s="1"/>
  <c r="P281" i="7"/>
  <c r="E281" i="7" s="1"/>
  <c r="G281" i="7" s="1"/>
  <c r="H281" i="7" s="1"/>
  <c r="P280" i="7"/>
  <c r="E280" i="7" s="1"/>
  <c r="P279" i="7"/>
  <c r="E279" i="7" s="1"/>
  <c r="G279" i="7" s="1"/>
  <c r="H279" i="7" s="1"/>
  <c r="P278" i="7"/>
  <c r="E278" i="7" s="1"/>
  <c r="G278" i="7" s="1"/>
  <c r="H278" i="7" s="1"/>
  <c r="P277" i="7"/>
  <c r="E277" i="7" s="1"/>
  <c r="P276" i="7"/>
  <c r="E276" i="7" s="1"/>
  <c r="G276" i="7" s="1"/>
  <c r="H276" i="7" s="1"/>
  <c r="P275" i="7"/>
  <c r="E275" i="7" s="1"/>
  <c r="P274" i="7"/>
  <c r="E274" i="7" s="1"/>
  <c r="P273" i="7"/>
  <c r="E273" i="7" s="1"/>
  <c r="G273" i="7" s="1"/>
  <c r="H273" i="7" s="1"/>
  <c r="P272" i="7"/>
  <c r="E272" i="7" s="1"/>
  <c r="P271" i="7"/>
  <c r="E271" i="7" s="1"/>
  <c r="P270" i="7"/>
  <c r="E270" i="7" s="1"/>
  <c r="P269" i="7"/>
  <c r="E269" i="7" s="1"/>
  <c r="P268" i="7"/>
  <c r="E268" i="7" s="1"/>
  <c r="P267" i="7"/>
  <c r="E267" i="7" s="1"/>
  <c r="P266" i="7"/>
  <c r="E266" i="7" s="1"/>
  <c r="P265" i="7"/>
  <c r="E265" i="7" s="1"/>
  <c r="P264" i="7"/>
  <c r="E264" i="7" s="1"/>
  <c r="P263" i="7"/>
  <c r="E263" i="7" s="1"/>
  <c r="P262" i="7"/>
  <c r="E262" i="7" s="1"/>
  <c r="P261" i="7"/>
  <c r="E261" i="7" s="1"/>
  <c r="P260" i="7"/>
  <c r="E260" i="7" s="1"/>
  <c r="G260" i="7" s="1"/>
  <c r="H260" i="7" s="1"/>
  <c r="P259" i="7"/>
  <c r="E259" i="7" s="1"/>
  <c r="G259" i="7" s="1"/>
  <c r="H259" i="7" s="1"/>
  <c r="P258" i="7"/>
  <c r="E258" i="7" s="1"/>
  <c r="G258" i="7" s="1"/>
  <c r="H258" i="7" s="1"/>
  <c r="P257" i="7"/>
  <c r="E257" i="7" s="1"/>
  <c r="P256" i="7"/>
  <c r="E256" i="7" s="1"/>
  <c r="P255" i="7"/>
  <c r="E255" i="7" s="1"/>
  <c r="G255" i="7" s="1"/>
  <c r="H255" i="7" s="1"/>
  <c r="P254" i="7"/>
  <c r="E254" i="7" s="1"/>
  <c r="G254" i="7" s="1"/>
  <c r="H254" i="7" s="1"/>
  <c r="P253" i="7"/>
  <c r="E253" i="7" s="1"/>
  <c r="P252" i="7"/>
  <c r="E252" i="7" s="1"/>
  <c r="P251" i="7"/>
  <c r="E251" i="7" s="1"/>
  <c r="G251" i="7" s="1"/>
  <c r="H251" i="7" s="1"/>
  <c r="P250" i="7"/>
  <c r="E250" i="7" s="1"/>
  <c r="G250" i="7" s="1"/>
  <c r="H250" i="7" s="1"/>
  <c r="P249" i="7"/>
  <c r="E249" i="7" s="1"/>
  <c r="P248" i="7"/>
  <c r="E248" i="7" s="1"/>
  <c r="P247" i="7"/>
  <c r="E247" i="7" s="1"/>
  <c r="G247" i="7" s="1"/>
  <c r="H247" i="7" s="1"/>
  <c r="P246" i="7"/>
  <c r="E246" i="7" s="1"/>
  <c r="P245" i="7"/>
  <c r="E245" i="7" s="1"/>
  <c r="G245" i="7" s="1"/>
  <c r="H245" i="7" s="1"/>
  <c r="P244" i="7"/>
  <c r="E244" i="7" s="1"/>
  <c r="G244" i="7" s="1"/>
  <c r="H244" i="7" s="1"/>
  <c r="P243" i="7"/>
  <c r="E243" i="7" s="1"/>
  <c r="P242" i="7"/>
  <c r="E242" i="7" s="1"/>
  <c r="P241" i="7"/>
  <c r="E241" i="7" s="1"/>
  <c r="G241" i="7" s="1"/>
  <c r="H241" i="7" s="1"/>
  <c r="P240" i="7"/>
  <c r="E240" i="7" s="1"/>
  <c r="P239" i="7"/>
  <c r="E239" i="7" s="1"/>
  <c r="P238" i="7"/>
  <c r="E238" i="7" s="1"/>
  <c r="G238" i="7" s="1"/>
  <c r="H238" i="7" s="1"/>
  <c r="P237" i="7"/>
  <c r="E237" i="7" s="1"/>
  <c r="P236" i="7"/>
  <c r="E236" i="7" s="1"/>
  <c r="G236" i="7" s="1"/>
  <c r="H236" i="7" s="1"/>
  <c r="P235" i="7"/>
  <c r="E235" i="7" s="1"/>
  <c r="P234" i="7"/>
  <c r="E234" i="7" s="1"/>
  <c r="G234" i="7" s="1"/>
  <c r="H234" i="7" s="1"/>
  <c r="P233" i="7"/>
  <c r="E233" i="7" s="1"/>
  <c r="P232" i="7"/>
  <c r="E232" i="7" s="1"/>
  <c r="G232" i="7" s="1"/>
  <c r="H232" i="7" s="1"/>
  <c r="P231" i="7"/>
  <c r="E231" i="7" s="1"/>
  <c r="G231" i="7" s="1"/>
  <c r="H231" i="7" s="1"/>
  <c r="P230" i="7"/>
  <c r="E230" i="7" s="1"/>
  <c r="G230" i="7" s="1"/>
  <c r="H230" i="7" s="1"/>
  <c r="P229" i="7"/>
  <c r="E229" i="7" s="1"/>
  <c r="P228" i="7"/>
  <c r="E228" i="7" s="1"/>
  <c r="G228" i="7" s="1"/>
  <c r="H228" i="7" s="1"/>
  <c r="P227" i="7"/>
  <c r="E227" i="7" s="1"/>
  <c r="G227" i="7" s="1"/>
  <c r="H227" i="7" s="1"/>
  <c r="P226" i="7"/>
  <c r="E226" i="7" s="1"/>
  <c r="G226" i="7" s="1"/>
  <c r="H226" i="7" s="1"/>
  <c r="P225" i="7"/>
  <c r="E225" i="7" s="1"/>
  <c r="P224" i="7"/>
  <c r="E224" i="7" s="1"/>
  <c r="P223" i="7"/>
  <c r="E223" i="7" s="1"/>
  <c r="P222" i="7"/>
  <c r="E222" i="7" s="1"/>
  <c r="G222" i="7" s="1"/>
  <c r="H222" i="7" s="1"/>
  <c r="P221" i="7"/>
  <c r="E221" i="7" s="1"/>
  <c r="P220" i="7"/>
  <c r="E220" i="7" s="1"/>
  <c r="P219" i="7"/>
  <c r="E219" i="7" s="1"/>
  <c r="P218" i="7"/>
  <c r="E218" i="7" s="1"/>
  <c r="G218" i="7" s="1"/>
  <c r="H218" i="7" s="1"/>
  <c r="F218" i="7"/>
  <c r="F199" i="7" s="1"/>
  <c r="P217" i="7"/>
  <c r="E217" i="7" s="1"/>
  <c r="G217" i="7" s="1"/>
  <c r="H217" i="7" s="1"/>
  <c r="P216" i="7"/>
  <c r="E216" i="7" s="1"/>
  <c r="G216" i="7" s="1"/>
  <c r="H216" i="7" s="1"/>
  <c r="P215" i="7"/>
  <c r="E215" i="7" s="1"/>
  <c r="G215" i="7" s="1"/>
  <c r="H215" i="7" s="1"/>
  <c r="P214" i="7"/>
  <c r="E214" i="7" s="1"/>
  <c r="P213" i="7"/>
  <c r="E213" i="7" s="1"/>
  <c r="G213" i="7" s="1"/>
  <c r="H213" i="7" s="1"/>
  <c r="P212" i="7"/>
  <c r="E212" i="7" s="1"/>
  <c r="P211" i="7"/>
  <c r="E211" i="7" s="1"/>
  <c r="P210" i="7"/>
  <c r="E210" i="7" s="1"/>
  <c r="G210" i="7" s="1"/>
  <c r="H210" i="7" s="1"/>
  <c r="P209" i="7"/>
  <c r="E209" i="7" s="1"/>
  <c r="P208" i="7"/>
  <c r="E208" i="7" s="1"/>
  <c r="G208" i="7" s="1"/>
  <c r="H208" i="7" s="1"/>
  <c r="P207" i="7"/>
  <c r="E207" i="7" s="1"/>
  <c r="P206" i="7"/>
  <c r="E206" i="7" s="1"/>
  <c r="G206" i="7" s="1"/>
  <c r="H206" i="7" s="1"/>
  <c r="P205" i="7"/>
  <c r="E205" i="7" s="1"/>
  <c r="G205" i="7" s="1"/>
  <c r="H205" i="7" s="1"/>
  <c r="P204" i="7"/>
  <c r="E204" i="7" s="1"/>
  <c r="P203" i="7"/>
  <c r="E203" i="7" s="1"/>
  <c r="G203" i="7" s="1"/>
  <c r="H203" i="7" s="1"/>
  <c r="P202" i="7"/>
  <c r="E202" i="7" s="1"/>
  <c r="P201" i="7"/>
  <c r="E201" i="7" s="1"/>
  <c r="G201" i="7" s="1"/>
  <c r="H201" i="7" s="1"/>
  <c r="P200" i="7"/>
  <c r="D199" i="7"/>
  <c r="P296" i="7"/>
  <c r="P295" i="7" s="1"/>
  <c r="D294" i="7"/>
  <c r="P198" i="7"/>
  <c r="P197" i="7"/>
  <c r="F195" i="7"/>
  <c r="D195" i="7"/>
  <c r="P194" i="7"/>
  <c r="P193" i="7"/>
  <c r="P191" i="7"/>
  <c r="P190" i="7"/>
  <c r="P189" i="7"/>
  <c r="P188" i="7"/>
  <c r="P187" i="7"/>
  <c r="P186" i="7"/>
  <c r="F184" i="7"/>
  <c r="D184" i="7"/>
  <c r="P183" i="7"/>
  <c r="P182" i="7"/>
  <c r="P180" i="7"/>
  <c r="F178" i="7"/>
  <c r="D178" i="7"/>
  <c r="P177" i="7"/>
  <c r="P176" i="7" s="1"/>
  <c r="E176" i="7" s="1"/>
  <c r="G176" i="7" s="1"/>
  <c r="P175" i="7"/>
  <c r="P174" i="7"/>
  <c r="P173" i="7"/>
  <c r="P172" i="7"/>
  <c r="F170" i="7"/>
  <c r="D170" i="7"/>
  <c r="P169" i="7"/>
  <c r="P168" i="7"/>
  <c r="P167" i="7"/>
  <c r="D165" i="7"/>
  <c r="P164" i="7"/>
  <c r="G164" i="7"/>
  <c r="H164" i="7" s="1"/>
  <c r="P163" i="7"/>
  <c r="G163" i="7"/>
  <c r="H163" i="7" s="1"/>
  <c r="P161" i="7"/>
  <c r="P160" i="7" s="1"/>
  <c r="F159" i="7"/>
  <c r="D159" i="7"/>
  <c r="P158" i="7"/>
  <c r="P157" i="7" s="1"/>
  <c r="E157" i="7" s="1"/>
  <c r="G157" i="7" s="1"/>
  <c r="P156" i="7"/>
  <c r="P155" i="7"/>
  <c r="P154" i="7"/>
  <c r="H154" i="7"/>
  <c r="P152" i="7"/>
  <c r="P151" i="7"/>
  <c r="P150" i="7"/>
  <c r="G150" i="7"/>
  <c r="H150" i="7" s="1"/>
  <c r="F148" i="7"/>
  <c r="D148" i="7"/>
  <c r="P147" i="7"/>
  <c r="P146" i="7" s="1"/>
  <c r="E146" i="7" s="1"/>
  <c r="P145" i="7"/>
  <c r="P144" i="7"/>
  <c r="P143" i="7"/>
  <c r="P142" i="7"/>
  <c r="P140" i="7"/>
  <c r="P139" i="7"/>
  <c r="P138" i="7"/>
  <c r="P137" i="7"/>
  <c r="P136" i="7"/>
  <c r="P135" i="7"/>
  <c r="P134" i="7"/>
  <c r="F131" i="7"/>
  <c r="D131" i="7"/>
  <c r="P130" i="7"/>
  <c r="P129" i="7"/>
  <c r="P128" i="7"/>
  <c r="P126" i="7"/>
  <c r="P125" i="7"/>
  <c r="P124" i="7"/>
  <c r="P122" i="7"/>
  <c r="P121" i="7" s="1"/>
  <c r="E121" i="7" s="1"/>
  <c r="P120" i="7"/>
  <c r="P119" i="7"/>
  <c r="P118" i="7"/>
  <c r="P117" i="7"/>
  <c r="P115" i="7"/>
  <c r="P114" i="7" s="1"/>
  <c r="E114" i="7" s="1"/>
  <c r="G114" i="7" s="1"/>
  <c r="H114" i="7" s="1"/>
  <c r="P113" i="7"/>
  <c r="D111" i="7"/>
  <c r="P110" i="7"/>
  <c r="G110" i="7"/>
  <c r="H110" i="7" s="1"/>
  <c r="P108" i="7"/>
  <c r="P106" i="7"/>
  <c r="P105" i="7"/>
  <c r="P103" i="7"/>
  <c r="P101" i="7"/>
  <c r="P100" i="7" s="1"/>
  <c r="E100" i="7" s="1"/>
  <c r="G100" i="7" s="1"/>
  <c r="H100" i="7" s="1"/>
  <c r="F99" i="7"/>
  <c r="D99" i="7"/>
  <c r="P98" i="7"/>
  <c r="P97" i="7" s="1"/>
  <c r="E97" i="7" s="1"/>
  <c r="G97" i="7" s="1"/>
  <c r="H97" i="7" s="1"/>
  <c r="P96" i="7"/>
  <c r="P95" i="7"/>
  <c r="P94" i="7"/>
  <c r="G94" i="7"/>
  <c r="H94" i="7" s="1"/>
  <c r="P92" i="7"/>
  <c r="P90" i="7"/>
  <c r="G90" i="7"/>
  <c r="H90" i="7" s="1"/>
  <c r="P89" i="7"/>
  <c r="P88" i="7"/>
  <c r="F86" i="7"/>
  <c r="D86" i="7"/>
  <c r="P84" i="7"/>
  <c r="P83" i="7" s="1"/>
  <c r="E83" i="7" s="1"/>
  <c r="G83" i="7" s="1"/>
  <c r="H83" i="7" s="1"/>
  <c r="P82" i="7"/>
  <c r="P81" i="7" s="1"/>
  <c r="E81" i="7" s="1"/>
  <c r="G81" i="7" s="1"/>
  <c r="H81" i="7" s="1"/>
  <c r="P80" i="7"/>
  <c r="P79" i="7" s="1"/>
  <c r="F78" i="7"/>
  <c r="D78" i="7"/>
  <c r="P77" i="7"/>
  <c r="G77" i="7"/>
  <c r="H77" i="7" s="1"/>
  <c r="P76" i="7"/>
  <c r="G76" i="7"/>
  <c r="H76" i="7" s="1"/>
  <c r="P74" i="7"/>
  <c r="P73" i="7"/>
  <c r="P72" i="7"/>
  <c r="P71" i="7"/>
  <c r="P70" i="7"/>
  <c r="P67" i="7"/>
  <c r="P66" i="7"/>
  <c r="P62" i="7"/>
  <c r="G62" i="7"/>
  <c r="H62" i="7" s="1"/>
  <c r="P61" i="7"/>
  <c r="G61" i="7"/>
  <c r="H61" i="7" s="1"/>
  <c r="P60" i="7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G48" i="7"/>
  <c r="H48" i="7" s="1"/>
  <c r="P47" i="7"/>
  <c r="P46" i="7"/>
  <c r="G46" i="7"/>
  <c r="H46" i="7" s="1"/>
  <c r="P45" i="7"/>
  <c r="G44" i="7"/>
  <c r="H44" i="7" s="1"/>
  <c r="P42" i="7"/>
  <c r="P41" i="7"/>
  <c r="P38" i="7"/>
  <c r="P36" i="7" s="1"/>
  <c r="F35" i="7"/>
  <c r="D35" i="7"/>
  <c r="P34" i="7"/>
  <c r="P33" i="7"/>
  <c r="P32" i="7"/>
  <c r="P31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F5" i="7"/>
  <c r="P90" i="6"/>
  <c r="G90" i="6"/>
  <c r="H90" i="6" s="1"/>
  <c r="P89" i="6"/>
  <c r="P88" i="6"/>
  <c r="H88" i="6"/>
  <c r="P86" i="6"/>
  <c r="E86" i="6" s="1"/>
  <c r="G86" i="6" s="1"/>
  <c r="H86" i="6" s="1"/>
  <c r="P85" i="6"/>
  <c r="E85" i="6" s="1"/>
  <c r="D84" i="6"/>
  <c r="D83" i="6" s="1"/>
  <c r="F83" i="6"/>
  <c r="P82" i="6"/>
  <c r="E82" i="6" s="1"/>
  <c r="G82" i="6" s="1"/>
  <c r="H82" i="6" s="1"/>
  <c r="P81" i="6"/>
  <c r="E81" i="6" s="1"/>
  <c r="G81" i="6" s="1"/>
  <c r="H81" i="6" s="1"/>
  <c r="P80" i="6"/>
  <c r="E80" i="6" s="1"/>
  <c r="G80" i="6" s="1"/>
  <c r="H80" i="6" s="1"/>
  <c r="F79" i="6"/>
  <c r="F78" i="6" s="1"/>
  <c r="D79" i="6"/>
  <c r="D78" i="6" s="1"/>
  <c r="P77" i="6"/>
  <c r="P76" i="6"/>
  <c r="P75" i="6"/>
  <c r="P74" i="6"/>
  <c r="P72" i="6"/>
  <c r="G72" i="6"/>
  <c r="P71" i="6"/>
  <c r="P69" i="6"/>
  <c r="P68" i="6"/>
  <c r="P66" i="6"/>
  <c r="G66" i="6"/>
  <c r="P65" i="6"/>
  <c r="P64" i="6" s="1"/>
  <c r="E64" i="6" s="1"/>
  <c r="G64" i="6" s="1"/>
  <c r="H64" i="6" s="1"/>
  <c r="G65" i="6"/>
  <c r="F63" i="6"/>
  <c r="F62" i="6" s="1"/>
  <c r="D63" i="6"/>
  <c r="D62" i="6" s="1"/>
  <c r="P61" i="6"/>
  <c r="P60" i="6"/>
  <c r="H60" i="6"/>
  <c r="P59" i="6"/>
  <c r="P58" i="6"/>
  <c r="P57" i="6"/>
  <c r="P56" i="6"/>
  <c r="P55" i="6"/>
  <c r="H55" i="6"/>
  <c r="P54" i="6"/>
  <c r="G54" i="6"/>
  <c r="H54" i="6" s="1"/>
  <c r="P52" i="6"/>
  <c r="P51" i="6"/>
  <c r="G51" i="6"/>
  <c r="F49" i="6"/>
  <c r="D49" i="6"/>
  <c r="P48" i="6"/>
  <c r="P47" i="6"/>
  <c r="P46" i="6"/>
  <c r="P45" i="6"/>
  <c r="P42" i="6"/>
  <c r="P41" i="6"/>
  <c r="P39" i="6"/>
  <c r="P38" i="6"/>
  <c r="P37" i="6"/>
  <c r="P36" i="6"/>
  <c r="P34" i="6"/>
  <c r="P33" i="6" s="1"/>
  <c r="F32" i="6"/>
  <c r="D32" i="6"/>
  <c r="P30" i="6"/>
  <c r="P29" i="6" s="1"/>
  <c r="F28" i="6"/>
  <c r="F27" i="6" s="1"/>
  <c r="D28" i="6"/>
  <c r="D27" i="6" s="1"/>
  <c r="P26" i="6"/>
  <c r="P25" i="6" s="1"/>
  <c r="P24" i="6" s="1"/>
  <c r="D24" i="6"/>
  <c r="D23" i="6" s="1"/>
  <c r="P22" i="6"/>
  <c r="P21" i="6" s="1"/>
  <c r="P20" i="6"/>
  <c r="P19" i="6"/>
  <c r="P18" i="6"/>
  <c r="P16" i="6"/>
  <c r="P15" i="6"/>
  <c r="P14" i="6"/>
  <c r="P13" i="6"/>
  <c r="P12" i="6"/>
  <c r="P11" i="6"/>
  <c r="P10" i="6"/>
  <c r="F8" i="6"/>
  <c r="F7" i="6" s="1"/>
  <c r="D8" i="6"/>
  <c r="D7" i="6" s="1"/>
  <c r="F6" i="6"/>
  <c r="P70" i="6" l="1"/>
  <c r="E70" i="6" s="1"/>
  <c r="G70" i="6" s="1"/>
  <c r="H70" i="6" s="1"/>
  <c r="P40" i="6"/>
  <c r="E40" i="6" s="1"/>
  <c r="G40" i="6" s="1"/>
  <c r="H40" i="6" s="1"/>
  <c r="F31" i="6"/>
  <c r="P35" i="6"/>
  <c r="E35" i="6" s="1"/>
  <c r="G35" i="6" s="1"/>
  <c r="H35" i="6" s="1"/>
  <c r="E21" i="6"/>
  <c r="G21" i="6" s="1"/>
  <c r="P67" i="6"/>
  <c r="E67" i="6" s="1"/>
  <c r="G67" i="6" s="1"/>
  <c r="H67" i="6" s="1"/>
  <c r="P50" i="6"/>
  <c r="G270" i="7"/>
  <c r="H270" i="7" s="1"/>
  <c r="G269" i="7"/>
  <c r="H269" i="7" s="1"/>
  <c r="G266" i="7"/>
  <c r="H266" i="7" s="1"/>
  <c r="P59" i="7"/>
  <c r="E59" i="7" s="1"/>
  <c r="G59" i="7" s="1"/>
  <c r="H59" i="7" s="1"/>
  <c r="G220" i="7"/>
  <c r="H220" i="7" s="1"/>
  <c r="P109" i="7"/>
  <c r="E109" i="7" s="1"/>
  <c r="G109" i="7" s="1"/>
  <c r="H109" i="7" s="1"/>
  <c r="P123" i="7"/>
  <c r="P127" i="7"/>
  <c r="E127" i="7" s="1"/>
  <c r="G127" i="7" s="1"/>
  <c r="H127" i="7" s="1"/>
  <c r="P153" i="7"/>
  <c r="E153" i="7" s="1"/>
  <c r="G265" i="7"/>
  <c r="H265" i="7" s="1"/>
  <c r="G277" i="7"/>
  <c r="G288" i="7"/>
  <c r="H288" i="7" s="1"/>
  <c r="G224" i="7"/>
  <c r="H224" i="7" s="1"/>
  <c r="G274" i="7"/>
  <c r="H274" i="7" s="1"/>
  <c r="P68" i="7"/>
  <c r="E68" i="7" s="1"/>
  <c r="G68" i="7" s="1"/>
  <c r="H68" i="7" s="1"/>
  <c r="P192" i="7"/>
  <c r="E192" i="7" s="1"/>
  <c r="G192" i="7" s="1"/>
  <c r="P8" i="7"/>
  <c r="F6" i="7"/>
  <c r="P162" i="7"/>
  <c r="P159" i="7" s="1"/>
  <c r="D6" i="7"/>
  <c r="D31" i="6"/>
  <c r="D6" i="6" s="1"/>
  <c r="G257" i="7"/>
  <c r="H257" i="7" s="1"/>
  <c r="G146" i="7"/>
  <c r="H146" i="7" s="1"/>
  <c r="G249" i="7"/>
  <c r="H249" i="7" s="1"/>
  <c r="G212" i="7"/>
  <c r="H212" i="7" s="1"/>
  <c r="G209" i="7"/>
  <c r="H209" i="7" s="1"/>
  <c r="G282" i="7"/>
  <c r="H282" i="7" s="1"/>
  <c r="E36" i="7"/>
  <c r="G36" i="7" s="1"/>
  <c r="H36" i="7" s="1"/>
  <c r="F24" i="6"/>
  <c r="F23" i="6" s="1"/>
  <c r="G263" i="7"/>
  <c r="H263" i="7" s="1"/>
  <c r="G286" i="7"/>
  <c r="G289" i="7"/>
  <c r="H289" i="7" s="1"/>
  <c r="G204" i="7"/>
  <c r="H204" i="7" s="1"/>
  <c r="G207" i="7"/>
  <c r="H207" i="7" s="1"/>
  <c r="G223" i="7"/>
  <c r="H223" i="7" s="1"/>
  <c r="G242" i="7"/>
  <c r="H242" i="7" s="1"/>
  <c r="G253" i="7"/>
  <c r="H253" i="7" s="1"/>
  <c r="G261" i="7"/>
  <c r="H261" i="7" s="1"/>
  <c r="G275" i="7"/>
  <c r="H275" i="7" s="1"/>
  <c r="G287" i="7"/>
  <c r="P53" i="6"/>
  <c r="E53" i="6" s="1"/>
  <c r="P52" i="7"/>
  <c r="P87" i="7"/>
  <c r="P171" i="7"/>
  <c r="E171" i="7" s="1"/>
  <c r="G211" i="7"/>
  <c r="H211" i="7" s="1"/>
  <c r="G214" i="7"/>
  <c r="H214" i="7" s="1"/>
  <c r="G219" i="7"/>
  <c r="H219" i="7" s="1"/>
  <c r="G271" i="7"/>
  <c r="H271" i="7" s="1"/>
  <c r="P29" i="7"/>
  <c r="P91" i="7"/>
  <c r="P107" i="7"/>
  <c r="P181" i="7"/>
  <c r="E181" i="7" s="1"/>
  <c r="G181" i="7" s="1"/>
  <c r="H181" i="7" s="1"/>
  <c r="G202" i="7"/>
  <c r="H202" i="7" s="1"/>
  <c r="G235" i="7"/>
  <c r="H235" i="7" s="1"/>
  <c r="G240" i="7"/>
  <c r="H240" i="7" s="1"/>
  <c r="G246" i="7"/>
  <c r="H246" i="7" s="1"/>
  <c r="G267" i="7"/>
  <c r="H267" i="7" s="1"/>
  <c r="P73" i="6"/>
  <c r="E73" i="6" s="1"/>
  <c r="G73" i="6" s="1"/>
  <c r="H73" i="6" s="1"/>
  <c r="P75" i="7"/>
  <c r="E75" i="7" s="1"/>
  <c r="G75" i="7" s="1"/>
  <c r="H75" i="7" s="1"/>
  <c r="F85" i="7"/>
  <c r="P102" i="7"/>
  <c r="P112" i="7"/>
  <c r="P63" i="7"/>
  <c r="P104" i="7"/>
  <c r="P116" i="7"/>
  <c r="E116" i="7" s="1"/>
  <c r="P141" i="7"/>
  <c r="E141" i="7" s="1"/>
  <c r="P149" i="7"/>
  <c r="E149" i="7" s="1"/>
  <c r="E302" i="7"/>
  <c r="P185" i="7"/>
  <c r="P43" i="7"/>
  <c r="P13" i="7"/>
  <c r="D85" i="7"/>
  <c r="G262" i="7"/>
  <c r="H262" i="7" s="1"/>
  <c r="P87" i="6"/>
  <c r="E87" i="6" s="1"/>
  <c r="E84" i="6" s="1"/>
  <c r="G85" i="6"/>
  <c r="H85" i="6" s="1"/>
  <c r="P44" i="6"/>
  <c r="E44" i="6" s="1"/>
  <c r="P17" i="6"/>
  <c r="E17" i="6" s="1"/>
  <c r="G121" i="7"/>
  <c r="H121" i="7" s="1"/>
  <c r="P133" i="7"/>
  <c r="P132" i="7" s="1"/>
  <c r="G221" i="7"/>
  <c r="H221" i="7" s="1"/>
  <c r="G290" i="7"/>
  <c r="H290" i="7" s="1"/>
  <c r="G293" i="7"/>
  <c r="H293" i="7" s="1"/>
  <c r="E50" i="6"/>
  <c r="E200" i="7"/>
  <c r="P199" i="7"/>
  <c r="E199" i="7" s="1"/>
  <c r="G199" i="7" s="1"/>
  <c r="H199" i="7" s="1"/>
  <c r="P22" i="7"/>
  <c r="P21" i="7" s="1"/>
  <c r="E21" i="7" s="1"/>
  <c r="E79" i="7"/>
  <c r="P78" i="7"/>
  <c r="E29" i="6"/>
  <c r="P28" i="6"/>
  <c r="P27" i="6" s="1"/>
  <c r="E50" i="7"/>
  <c r="P23" i="6"/>
  <c r="E25" i="6"/>
  <c r="E33" i="6"/>
  <c r="E79" i="6"/>
  <c r="G237" i="7"/>
  <c r="H237" i="7" s="1"/>
  <c r="G248" i="7"/>
  <c r="H248" i="7" s="1"/>
  <c r="G252" i="7"/>
  <c r="H252" i="7" s="1"/>
  <c r="G256" i="7"/>
  <c r="H256" i="7" s="1"/>
  <c r="G264" i="7"/>
  <c r="H264" i="7" s="1"/>
  <c r="G268" i="7"/>
  <c r="H268" i="7" s="1"/>
  <c r="G272" i="7"/>
  <c r="H272" i="7" s="1"/>
  <c r="G280" i="7"/>
  <c r="H280" i="7" s="1"/>
  <c r="P9" i="6"/>
  <c r="E160" i="7"/>
  <c r="G233" i="7"/>
  <c r="H233" i="7" s="1"/>
  <c r="G306" i="7"/>
  <c r="H306" i="7" s="1"/>
  <c r="P93" i="7"/>
  <c r="H162" i="7"/>
  <c r="G229" i="7"/>
  <c r="H229" i="7" s="1"/>
  <c r="G243" i="7"/>
  <c r="H243" i="7" s="1"/>
  <c r="P79" i="6"/>
  <c r="P78" i="6" s="1"/>
  <c r="P40" i="7"/>
  <c r="E40" i="7" s="1"/>
  <c r="G225" i="7"/>
  <c r="H225" i="7" s="1"/>
  <c r="G239" i="7"/>
  <c r="H239" i="7" s="1"/>
  <c r="P166" i="7"/>
  <c r="E295" i="7"/>
  <c r="P294" i="7"/>
  <c r="P179" i="7"/>
  <c r="P196" i="7"/>
  <c r="P298" i="7"/>
  <c r="P32" i="6" l="1"/>
  <c r="P86" i="7"/>
  <c r="P99" i="7"/>
  <c r="E99" i="7" s="1"/>
  <c r="G99" i="7" s="1"/>
  <c r="H99" i="7" s="1"/>
  <c r="P63" i="6"/>
  <c r="P62" i="6" s="1"/>
  <c r="E123" i="7"/>
  <c r="G123" i="7" s="1"/>
  <c r="H123" i="7" s="1"/>
  <c r="P111" i="7"/>
  <c r="E111" i="7" s="1"/>
  <c r="G111" i="7" s="1"/>
  <c r="H111" i="7" s="1"/>
  <c r="P131" i="7"/>
  <c r="E112" i="7"/>
  <c r="E185" i="7"/>
  <c r="E184" i="7" s="1"/>
  <c r="G184" i="7" s="1"/>
  <c r="H184" i="7" s="1"/>
  <c r="E8" i="7"/>
  <c r="G8" i="7" s="1"/>
  <c r="H8" i="7" s="1"/>
  <c r="P170" i="7"/>
  <c r="D5" i="7"/>
  <c r="P49" i="7"/>
  <c r="P184" i="7"/>
  <c r="P49" i="6"/>
  <c r="P31" i="6" s="1"/>
  <c r="G302" i="7"/>
  <c r="H302" i="7" s="1"/>
  <c r="E104" i="7"/>
  <c r="G104" i="7" s="1"/>
  <c r="H104" i="7" s="1"/>
  <c r="E107" i="7"/>
  <c r="G107" i="7" s="1"/>
  <c r="H107" i="7" s="1"/>
  <c r="E87" i="7"/>
  <c r="G87" i="7" s="1"/>
  <c r="H87" i="7" s="1"/>
  <c r="P148" i="7"/>
  <c r="E148" i="7"/>
  <c r="G148" i="7" s="1"/>
  <c r="H148" i="7" s="1"/>
  <c r="G141" i="7"/>
  <c r="H141" i="7" s="1"/>
  <c r="E102" i="7"/>
  <c r="G102" i="7" s="1"/>
  <c r="H102" i="7" s="1"/>
  <c r="E91" i="7"/>
  <c r="G91" i="7" s="1"/>
  <c r="H91" i="7" s="1"/>
  <c r="E52" i="7"/>
  <c r="G52" i="7" s="1"/>
  <c r="H52" i="7" s="1"/>
  <c r="E63" i="7"/>
  <c r="G63" i="7" s="1"/>
  <c r="H63" i="7" s="1"/>
  <c r="P35" i="7"/>
  <c r="G149" i="7"/>
  <c r="H149" i="7" s="1"/>
  <c r="G116" i="7"/>
  <c r="H116" i="7" s="1"/>
  <c r="E29" i="7"/>
  <c r="G29" i="7" s="1"/>
  <c r="H29" i="7" s="1"/>
  <c r="G53" i="6"/>
  <c r="H53" i="6" s="1"/>
  <c r="E43" i="7"/>
  <c r="E13" i="7"/>
  <c r="G13" i="7" s="1"/>
  <c r="H13" i="7" s="1"/>
  <c r="G87" i="6"/>
  <c r="H87" i="6" s="1"/>
  <c r="P84" i="6"/>
  <c r="P83" i="6" s="1"/>
  <c r="G44" i="6"/>
  <c r="H44" i="6" s="1"/>
  <c r="G17" i="6"/>
  <c r="H17" i="6" s="1"/>
  <c r="E132" i="7"/>
  <c r="P165" i="7"/>
  <c r="E165" i="7" s="1"/>
  <c r="G165" i="7" s="1"/>
  <c r="H165" i="7" s="1"/>
  <c r="E166" i="7"/>
  <c r="E93" i="7"/>
  <c r="G171" i="7"/>
  <c r="H171" i="7" s="1"/>
  <c r="E170" i="7"/>
  <c r="G170" i="7" s="1"/>
  <c r="H170" i="7" s="1"/>
  <c r="E78" i="6"/>
  <c r="G78" i="6" s="1"/>
  <c r="H78" i="6" s="1"/>
  <c r="G79" i="6"/>
  <c r="H79" i="6" s="1"/>
  <c r="G25" i="6"/>
  <c r="H25" i="6" s="1"/>
  <c r="E24" i="6"/>
  <c r="G29" i="6"/>
  <c r="H29" i="6" s="1"/>
  <c r="E28" i="6"/>
  <c r="G79" i="7"/>
  <c r="H79" i="7" s="1"/>
  <c r="E78" i="7"/>
  <c r="G78" i="7" s="1"/>
  <c r="H78" i="7" s="1"/>
  <c r="J25" i="7"/>
  <c r="P25" i="7" s="1"/>
  <c r="J26" i="7" s="1"/>
  <c r="P26" i="7" s="1"/>
  <c r="P24" i="7"/>
  <c r="E179" i="7"/>
  <c r="P178" i="7"/>
  <c r="G21" i="7"/>
  <c r="H21" i="7" s="1"/>
  <c r="G200" i="7"/>
  <c r="H200" i="7" s="1"/>
  <c r="E49" i="6"/>
  <c r="G49" i="6" s="1"/>
  <c r="H49" i="6" s="1"/>
  <c r="G50" i="6"/>
  <c r="H50" i="6" s="1"/>
  <c r="P195" i="7"/>
  <c r="E196" i="7"/>
  <c r="G33" i="6"/>
  <c r="H33" i="6" s="1"/>
  <c r="E32" i="6"/>
  <c r="G84" i="6"/>
  <c r="E83" i="6"/>
  <c r="P8" i="6"/>
  <c r="P7" i="6" s="1"/>
  <c r="E9" i="6"/>
  <c r="P297" i="7"/>
  <c r="E297" i="7" s="1"/>
  <c r="G297" i="7" s="1"/>
  <c r="H297" i="7" s="1"/>
  <c r="E298" i="7"/>
  <c r="E294" i="7"/>
  <c r="G294" i="7" s="1"/>
  <c r="H294" i="7" s="1"/>
  <c r="G295" i="7"/>
  <c r="H295" i="7" s="1"/>
  <c r="G40" i="7"/>
  <c r="H40" i="7" s="1"/>
  <c r="E159" i="7"/>
  <c r="G159" i="7" s="1"/>
  <c r="H159" i="7" s="1"/>
  <c r="G160" i="7"/>
  <c r="H160" i="7" s="1"/>
  <c r="G153" i="7"/>
  <c r="H153" i="7" s="1"/>
  <c r="G50" i="7"/>
  <c r="H50" i="7" s="1"/>
  <c r="P28" i="7"/>
  <c r="P27" i="7"/>
  <c r="E63" i="6" l="1"/>
  <c r="G185" i="7"/>
  <c r="H185" i="7" s="1"/>
  <c r="G112" i="7"/>
  <c r="H112" i="7" s="1"/>
  <c r="E49" i="7"/>
  <c r="G49" i="7" s="1"/>
  <c r="H49" i="7" s="1"/>
  <c r="G132" i="7"/>
  <c r="H132" i="7" s="1"/>
  <c r="G43" i="7"/>
  <c r="H43" i="7" s="1"/>
  <c r="E35" i="7"/>
  <c r="G35" i="7" s="1"/>
  <c r="H35" i="7" s="1"/>
  <c r="E131" i="7"/>
  <c r="G131" i="7" s="1"/>
  <c r="H131" i="7" s="1"/>
  <c r="G32" i="6"/>
  <c r="H32" i="6" s="1"/>
  <c r="E31" i="6"/>
  <c r="G31" i="6" s="1"/>
  <c r="H31" i="6" s="1"/>
  <c r="G24" i="6"/>
  <c r="H24" i="6" s="1"/>
  <c r="E23" i="6"/>
  <c r="G23" i="6" s="1"/>
  <c r="H23" i="6" s="1"/>
  <c r="G93" i="7"/>
  <c r="H93" i="7" s="1"/>
  <c r="E86" i="7"/>
  <c r="H84" i="6"/>
  <c r="G83" i="6"/>
  <c r="H83" i="6" s="1"/>
  <c r="G63" i="6"/>
  <c r="H63" i="6" s="1"/>
  <c r="E62" i="6"/>
  <c r="G62" i="6" s="1"/>
  <c r="H62" i="6" s="1"/>
  <c r="P6" i="6"/>
  <c r="E195" i="7"/>
  <c r="G195" i="7" s="1"/>
  <c r="H195" i="7" s="1"/>
  <c r="G196" i="7"/>
  <c r="H196" i="7" s="1"/>
  <c r="E27" i="6"/>
  <c r="G27" i="6" s="1"/>
  <c r="H27" i="6" s="1"/>
  <c r="G28" i="6"/>
  <c r="H28" i="6" s="1"/>
  <c r="G166" i="7"/>
  <c r="H166" i="7" s="1"/>
  <c r="P23" i="7"/>
  <c r="E8" i="6"/>
  <c r="G9" i="6"/>
  <c r="H9" i="6" s="1"/>
  <c r="G298" i="7"/>
  <c r="H298" i="7" s="1"/>
  <c r="P85" i="7"/>
  <c r="E178" i="7"/>
  <c r="G178" i="7" s="1"/>
  <c r="H178" i="7" s="1"/>
  <c r="G179" i="7"/>
  <c r="H179" i="7" s="1"/>
  <c r="E7" i="6" l="1"/>
  <c r="E6" i="6" s="1"/>
  <c r="G8" i="6"/>
  <c r="H8" i="6" s="1"/>
  <c r="E23" i="7"/>
  <c r="P7" i="7"/>
  <c r="P6" i="7" s="1"/>
  <c r="P5" i="7" s="1"/>
  <c r="E85" i="7"/>
  <c r="G85" i="7" s="1"/>
  <c r="H85" i="7" s="1"/>
  <c r="G86" i="7"/>
  <c r="H86" i="7" s="1"/>
  <c r="G23" i="7" l="1"/>
  <c r="H23" i="7" s="1"/>
  <c r="E7" i="7"/>
  <c r="G7" i="6"/>
  <c r="H7" i="6" s="1"/>
  <c r="G6" i="6"/>
  <c r="H6" i="6" s="1"/>
  <c r="G7" i="7" l="1"/>
  <c r="H7" i="7" s="1"/>
  <c r="E6" i="7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<sst xmlns="http://schemas.openxmlformats.org/spreadsheetml/2006/main" count="2312" uniqueCount="553">
  <si>
    <t>한마음(16,145천원), 비지정후원(2,755천원), 직영수탁지원금 73,855천원은 시설전출금으로 이동(2,655천원증가)</t>
  </si>
  <si>
    <t>비지정후원금 서울법인협회창립 출자금 50만, 회비 100만 추가</t>
  </si>
  <si>
    <t>1인 개인사정으로 학업을 지속할 수 없어 장학생 선정 취소.</t>
  </si>
  <si>
    <t>인준시설 P/G지원 5,000천원+경동제약기능11,000천원</t>
  </si>
  <si>
    <t>2021년부터 분리 적용, 온라인 모금 사업 확대에 따른 증액</t>
  </si>
  <si>
    <t>제2조 1. 세입ㆍ세출의 명세는 세입ㆍ세출 예산서와 같다.</t>
  </si>
  <si>
    <t>고용장려금 20,458,570+경동제약기능보강9,196천원</t>
  </si>
  <si>
    <t>직영기능보강사업 4,056천원+경동제약비품구입1,500천원</t>
  </si>
  <si>
    <t>㈜휴먼소프트웨어(MRM), SK브로드밴드 인터넷 전화기 사용료</t>
  </si>
  <si>
    <t>fr.조해붕후원 2,000천원+순교자현양위 3,500천원+저소득한부모지원 2,000천원</t>
  </si>
  <si>
    <t>이성순퇴직금 계상 11,542,400원(2015.10.14~2021.7.31)</t>
  </si>
  <si>
    <t>2020년 옥수동임대료수입 21,000천원-재산매각대금 반환관련 초과분 천만원 차감</t>
  </si>
  <si>
    <t>순교자현양위 3,500천원+저소득한부모지원 3,000천원+카이로스시계후원3,600천원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</si>
  <si>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</si>
  <si>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</si>
  <si>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>2020년 9월~12월 한끼100원 비용 추가, 상반기내로 종결예정</t>
  </si>
  <si>
    <t>인준시설 P/G지원 3,000천원+저소득한부모지원3,000천원</t>
  </si>
  <si>
    <t xml:space="preserve">3. 세출의 내용은 다음과 같다. </t>
  </si>
  <si>
    <t>저소득한부모지원 1,000천원</t>
  </si>
  <si>
    <t>동자동 임대수입(1층,지하층)</t>
  </si>
  <si>
    <t>성무활동비 및 미사예물(사제)</t>
  </si>
  <si>
    <t>고용장려금 12,184,350</t>
  </si>
  <si>
    <t>사무실및 교육실 LED등 교체</t>
  </si>
  <si>
    <t>직영기능보강사업 968,000</t>
  </si>
  <si>
    <t>성태윤퇴직금 2,877,430원</t>
  </si>
  <si>
    <t>직영기능보강사업 2,915천원</t>
  </si>
  <si>
    <t>11월 12월 혼배기부 축복미 추가</t>
  </si>
  <si>
    <t>2020년한마음지원금 잔액반환 등</t>
  </si>
  <si>
    <t>양초사업 대여금 상환 관련 수입</t>
  </si>
  <si>
    <t>기획사업(가톨릭사회복지운영지표)</t>
  </si>
  <si>
    <t>직영기능보강사업 2,000천원</t>
  </si>
  <si>
    <t>기타후생비(장기근속포상 포함)</t>
  </si>
  <si>
    <t xml:space="preserve">2012년 11월 집행액(C)
</t>
  </si>
  <si>
    <t>온라인모금(해피빈, 신한아름인)</t>
  </si>
  <si>
    <t>직영기능보강사업 3,000천원</t>
  </si>
  <si>
    <t>고용장려금 21,034,800</t>
  </si>
  <si>
    <t>한마음한몸/ 비지정(132만원)</t>
  </si>
  <si>
    <t>카사지센 사업비 지원(자부담)</t>
  </si>
  <si>
    <t>직영기능보강사업 5,000천원</t>
  </si>
  <si>
    <t>홍보대사 동영상제작비 추가 등</t>
  </si>
  <si>
    <t>이주사목위원회 지원(4개시설)</t>
  </si>
  <si>
    <t>임금채권부담금 경감(5월분부터)</t>
  </si>
  <si>
    <t>조은아후원 5,000천원 포함</t>
  </si>
  <si>
    <t>인준시설 P/G지원 3,000천원</t>
  </si>
  <si>
    <t>비지정후원금(우편발송비 포함)</t>
  </si>
  <si>
    <t>자부담(2,860)특강강사비추가</t>
  </si>
  <si>
    <t>바보의나눔 지원금</t>
  </si>
  <si>
    <t>회장 직책보조비</t>
  </si>
  <si>
    <t>사회복지사업 지원금</t>
  </si>
  <si>
    <t>구로구육아종합지원센터</t>
  </si>
  <si>
    <t>로사리아공동생활</t>
  </si>
  <si>
    <t>(단위 : 천원)</t>
  </si>
  <si>
    <t>신풍오피스텔 임대</t>
  </si>
  <si>
    <t>신림성모성당데이</t>
  </si>
  <si>
    <t>임대료 지원(본회)</t>
  </si>
  <si>
    <t xml:space="preserve"> - 메뉴얼제작비</t>
  </si>
  <si>
    <t>바오로교실주간보호</t>
  </si>
  <si>
    <t>시흥4동성당데이</t>
  </si>
  <si>
    <t>보금자리공동생활</t>
  </si>
  <si>
    <t>헬렌켈러주간보호</t>
  </si>
  <si>
    <t>프란치스코어린이집</t>
  </si>
  <si>
    <t>혼배기부 축복미</t>
  </si>
  <si>
    <t xml:space="preserve"> - 실무자회의비외</t>
  </si>
  <si>
    <t>화곡본동성당데이</t>
  </si>
  <si>
    <t>등촌7종합복지관</t>
  </si>
  <si>
    <t>직영기능보강사업 8,500천원+경동제약 4,345천원</t>
  </si>
  <si>
    <t xml:space="preserve">수탁종료예정(8.21) 약정금액은 10,000천원 </t>
  </si>
  <si>
    <t>행정분과 3,850천원, 교육 3,437,250원 반환</t>
  </si>
  <si>
    <t>고용장려금 53,122,940+법인전입금 1,050천원</t>
  </si>
  <si>
    <t>교육용의자 및 서버컴퓨터, 온라인교육장비, 노트북구입</t>
  </si>
  <si>
    <t>야근 식대</t>
  </si>
  <si>
    <t>사회조사</t>
  </si>
  <si>
    <t>자기개발과정</t>
  </si>
  <si>
    <t>비지정후원</t>
  </si>
  <si>
    <t>사랑의집</t>
  </si>
  <si>
    <t>1.  세 입</t>
  </si>
  <si>
    <t>7) 잡수입</t>
  </si>
  <si>
    <t>재산수입</t>
  </si>
  <si>
    <t>기타 시설비</t>
  </si>
  <si>
    <t>재난재해</t>
  </si>
  <si>
    <t>차량유지비</t>
  </si>
  <si>
    <t>교육사업</t>
  </si>
  <si>
    <t>출판사업</t>
  </si>
  <si>
    <t>기타추진비</t>
  </si>
  <si>
    <t>지역사회</t>
  </si>
  <si>
    <t>시설전출금</t>
  </si>
  <si>
    <t>선교200주년</t>
  </si>
  <si>
    <t>법인 행사비</t>
  </si>
  <si>
    <t>교구지원금</t>
  </si>
  <si>
    <t>이사회 회의비</t>
  </si>
  <si>
    <t>제세공과금</t>
  </si>
  <si>
    <t>기타지원금</t>
  </si>
  <si>
    <t>총  계</t>
  </si>
  <si>
    <t>교구보조금</t>
  </si>
  <si>
    <t>기관운영비</t>
  </si>
  <si>
    <t>모금사업</t>
  </si>
  <si>
    <t>기타잡수입</t>
  </si>
  <si>
    <t>사업평가회</t>
  </si>
  <si>
    <t>1) 재산수입</t>
  </si>
  <si>
    <t>혼배기부사업비</t>
  </si>
  <si>
    <t>세실리아장학금</t>
  </si>
  <si>
    <t>본당지원금</t>
  </si>
  <si>
    <t>복지사업</t>
  </si>
  <si>
    <t>디딤자리</t>
  </si>
  <si>
    <t>諸유지보수비</t>
  </si>
  <si>
    <t xml:space="preserve">제1조 </t>
  </si>
  <si>
    <t>소  계</t>
  </si>
  <si>
    <t>인터넷사용료</t>
  </si>
  <si>
    <t>본당모금사업</t>
  </si>
  <si>
    <t>지로모금사업비</t>
  </si>
  <si>
    <t>종사자
교육비</t>
  </si>
  <si>
    <t>도곡어린이집</t>
  </si>
  <si>
    <t>사업관리</t>
  </si>
  <si>
    <t>성동노인복지관</t>
  </si>
  <si>
    <t>지정후원금</t>
  </si>
  <si>
    <t>특별지원사업</t>
  </si>
  <si>
    <t>성모영보장학회</t>
  </si>
  <si>
    <t>증감(B-A)</t>
  </si>
  <si>
    <t>장학금 지급</t>
  </si>
  <si>
    <t>대외협력사업</t>
  </si>
  <si>
    <t>5) 후원금</t>
  </si>
  <si>
    <t>보미나어린이집</t>
  </si>
  <si>
    <t>한마음지원금</t>
  </si>
  <si>
    <t>기타수수료</t>
  </si>
  <si>
    <t>요안나장학회</t>
  </si>
  <si>
    <t>전례준비비</t>
  </si>
  <si>
    <t>비지정후원금</t>
  </si>
  <si>
    <t>해뜨락어린이집</t>
  </si>
  <si>
    <t>지정후원이월금</t>
  </si>
  <si>
    <t>자산취득비</t>
  </si>
  <si>
    <t>마음자리</t>
  </si>
  <si>
    <t>재해복구비</t>
  </si>
  <si>
    <t>기타예비비</t>
  </si>
  <si>
    <t>정근수당</t>
  </si>
  <si>
    <t>6) 상환금</t>
  </si>
  <si>
    <t>말가리다장학회</t>
  </si>
  <si>
    <t>5) 잡지출</t>
  </si>
  <si>
    <t>지정후원예비비</t>
  </si>
  <si>
    <t>공공요금</t>
  </si>
  <si>
    <t>금전출납</t>
  </si>
  <si>
    <t>2) 사업수입</t>
  </si>
  <si>
    <t>홍보출판</t>
  </si>
  <si>
    <t>모금관리</t>
  </si>
  <si>
    <t>장학금지급</t>
  </si>
  <si>
    <t>국민연금</t>
  </si>
  <si>
    <t>송화어린이집</t>
  </si>
  <si>
    <t>보조금수입</t>
  </si>
  <si>
    <t>한빛어린이집</t>
  </si>
  <si>
    <t>예금이자수입</t>
  </si>
  <si>
    <t>법인재산관리비</t>
  </si>
  <si>
    <t>후원자관리</t>
  </si>
  <si>
    <t>전문가 자문비</t>
  </si>
  <si>
    <t>왕십리성당데이</t>
  </si>
  <si>
    <t>지로후원</t>
  </si>
  <si>
    <t>동작종합복지관</t>
  </si>
  <si>
    <t>산재보험</t>
  </si>
  <si>
    <t xml:space="preserve">제4조 </t>
  </si>
  <si>
    <t>교육사업수입</t>
  </si>
  <si>
    <t>소모품비</t>
  </si>
  <si>
    <t>강서푸드마켓</t>
  </si>
  <si>
    <t>교정사목지원</t>
  </si>
  <si>
    <t>유락종합복지관</t>
  </si>
  <si>
    <t>다향공동생활</t>
  </si>
  <si>
    <t>천호동성당데이</t>
  </si>
  <si>
    <t>시설지정기탁</t>
  </si>
  <si>
    <t>자부담이월금</t>
  </si>
  <si>
    <t>금천노인복지관</t>
  </si>
  <si>
    <t>기타보조금수입</t>
  </si>
  <si>
    <t>교육자문위원회</t>
  </si>
  <si>
    <t>자기계발비</t>
  </si>
  <si>
    <t>목동어린이집</t>
  </si>
  <si>
    <t>건강보험</t>
  </si>
  <si>
    <t>재가특별지원</t>
  </si>
  <si>
    <t>상계동성당데이</t>
  </si>
  <si>
    <t>우편물발송비</t>
  </si>
  <si>
    <t>직원 경조사비</t>
  </si>
  <si>
    <t>고덕양로원</t>
  </si>
  <si>
    <t>시설장비유지비</t>
  </si>
  <si>
    <t>3) 사업비</t>
  </si>
  <si>
    <t>요양보험</t>
  </si>
  <si>
    <t>기타재산수입</t>
  </si>
  <si>
    <t>퇴직연금</t>
  </si>
  <si>
    <t>지역사회모금</t>
  </si>
  <si>
    <t>고용보험</t>
  </si>
  <si>
    <t>임대수입</t>
  </si>
  <si>
    <t>고척동성당데이</t>
  </si>
  <si>
    <t>구파발성당데이</t>
  </si>
  <si>
    <t>4) 전입금</t>
  </si>
  <si>
    <t xml:space="preserve">제5조 </t>
  </si>
  <si>
    <t>차년도이월금</t>
  </si>
  <si>
    <t>햇빛자리</t>
  </si>
  <si>
    <t>차량유류대</t>
  </si>
  <si>
    <t>1) 사무비</t>
  </si>
  <si>
    <t>한빛종합복지관</t>
  </si>
  <si>
    <t>정기업무점검</t>
  </si>
  <si>
    <t>소라네공동생활</t>
  </si>
  <si>
    <t>비둘기주간보호</t>
  </si>
  <si>
    <t>은도어린이집</t>
  </si>
  <si>
    <t>기타운영비</t>
  </si>
  <si>
    <t>방배어린이집</t>
  </si>
  <si>
    <t>직책보조비</t>
  </si>
  <si>
    <t>기말수당</t>
  </si>
  <si>
    <t>비율(%)</t>
  </si>
  <si>
    <t>지원사업</t>
  </si>
  <si>
    <t>홈페이지 관리</t>
  </si>
  <si>
    <t>서리풀주간보호</t>
  </si>
  <si>
    <t>CMS관리비</t>
  </si>
  <si>
    <t>사업수입</t>
  </si>
  <si>
    <t>법인세환급금</t>
  </si>
  <si>
    <t>신망애의집</t>
  </si>
  <si>
    <t>희망의집</t>
  </si>
  <si>
    <t>연구기획사업</t>
  </si>
  <si>
    <t>자동차보험모금</t>
  </si>
  <si>
    <t>연희네공동생활</t>
  </si>
  <si>
    <t>홍보대사관리</t>
  </si>
  <si>
    <t>활동가교육</t>
  </si>
  <si>
    <t>상계종합복지관</t>
  </si>
  <si>
    <t>공모사업지원금</t>
  </si>
  <si>
    <t>신당종합복지관</t>
  </si>
  <si>
    <t>다사랑공동생활</t>
  </si>
  <si>
    <t>고충처리위원회</t>
  </si>
  <si>
    <t>기타후생경비</t>
  </si>
  <si>
    <t>성지보호작업장</t>
  </si>
  <si>
    <t>및 기타</t>
  </si>
  <si>
    <t>성가정입양원</t>
  </si>
  <si>
    <t>고액후원자관리</t>
  </si>
  <si>
    <t>홍보사업</t>
  </si>
  <si>
    <t>한가족장학회</t>
  </si>
  <si>
    <t>방송모금</t>
  </si>
  <si>
    <t>3) 보조금</t>
  </si>
  <si>
    <t>신망애공동생활</t>
  </si>
  <si>
    <t>2.  세 출</t>
  </si>
  <si>
    <t>연구사업</t>
  </si>
  <si>
    <t>행운동성당데이</t>
  </si>
  <si>
    <t>후원자통합관리</t>
  </si>
  <si>
    <t>갈현동성당데이</t>
  </si>
  <si>
    <t>인식개선사업</t>
  </si>
  <si>
    <t>모금홍보동영상</t>
  </si>
  <si>
    <t>한국종사협 등</t>
  </si>
  <si>
    <t>신당동성당데이</t>
  </si>
  <si>
    <t>한국카리타스</t>
  </si>
  <si>
    <t>출장 여비</t>
  </si>
  <si>
    <t>계좌입금 후원</t>
  </si>
  <si>
    <t>공모지원사업</t>
  </si>
  <si>
    <t>6) 이월금</t>
  </si>
  <si>
    <t>누림학교</t>
  </si>
  <si>
    <t>등록단체지원금</t>
  </si>
  <si>
    <t>금호동성당데이</t>
  </si>
  <si>
    <t>일반모금</t>
  </si>
  <si>
    <t>교구전입금</t>
  </si>
  <si>
    <t>벗들의집</t>
  </si>
  <si>
    <t>물품후원탁송료</t>
  </si>
  <si>
    <t>사회복지시설</t>
  </si>
  <si>
    <t>사랑손주간보호</t>
  </si>
  <si>
    <t>루치아공동생활</t>
  </si>
  <si>
    <t>우리들의공부방</t>
  </si>
  <si>
    <t>중곡종합복지관</t>
  </si>
  <si>
    <t>우리집공동체</t>
  </si>
  <si>
    <t>성과공유회</t>
  </si>
  <si>
    <t>두레네공동생활</t>
  </si>
  <si>
    <t>혜화동데이케어</t>
  </si>
  <si>
    <t>해뜨는집</t>
  </si>
  <si>
    <t>시설장연수</t>
  </si>
  <si>
    <t>장학사업</t>
  </si>
  <si>
    <t>본당사회</t>
  </si>
  <si>
    <t>기타 소송경비 등</t>
  </si>
  <si>
    <t>지역사회모금사업</t>
  </si>
  <si>
    <t>재난재해
사업비</t>
  </si>
  <si>
    <t>장애인고용장려금</t>
  </si>
  <si>
    <t>시설인사위원회 회의비</t>
  </si>
  <si>
    <t>사회사목국 연계</t>
  </si>
  <si>
    <t>성빈센트환경마을</t>
  </si>
  <si>
    <t>시설전출금
(후원금)</t>
  </si>
  <si>
    <t>부회장 직책보조비</t>
  </si>
  <si>
    <t xml:space="preserve"> - 업무점검교통비</t>
  </si>
  <si>
    <t>한가족장학금 지정후원</t>
  </si>
  <si>
    <t>내방자 긴급지원</t>
  </si>
  <si>
    <t>시설 수탁관리비 등</t>
  </si>
  <si>
    <t>덕계동 임대수입</t>
  </si>
  <si>
    <t>강서직업재활센터</t>
  </si>
  <si>
    <t>비지정후원이월금</t>
  </si>
  <si>
    <t>공모지원사업 운영비</t>
  </si>
  <si>
    <t>2) 재산조성비</t>
  </si>
  <si>
    <t>화해의집 쉼자리</t>
  </si>
  <si>
    <t>후원관리프로그램</t>
  </si>
  <si>
    <t>나자로보호작업장</t>
  </si>
  <si>
    <t>성가정노인복지관</t>
  </si>
  <si>
    <t>헬렌켈러단기거주</t>
  </si>
  <si>
    <t>꿈자람터장애인주간</t>
  </si>
  <si>
    <t>수용비 및
수수료</t>
  </si>
  <si>
    <t>8) 예비비 및 기타</t>
  </si>
  <si>
    <t>베들레헴어린이집</t>
  </si>
  <si>
    <t>중구장애인복지관</t>
  </si>
  <si>
    <t>연차보고서 발간</t>
  </si>
  <si>
    <t>사회보험
부담금</t>
  </si>
  <si>
    <t>비둘기직업적응훈련시설</t>
  </si>
  <si>
    <t>한빛장애인주간보호</t>
  </si>
  <si>
    <t>한국사회적기업진흥원</t>
  </si>
  <si>
    <t>긴급재난 직접지원비</t>
  </si>
  <si>
    <t>시설장비
유지비</t>
  </si>
  <si>
    <t>4) 과년도지출</t>
  </si>
  <si>
    <t>경동제약지정후원금</t>
  </si>
  <si>
    <t>대림절 저금통(개인)</t>
  </si>
  <si>
    <t>지정기탁지원사업</t>
  </si>
  <si>
    <t>경동제약 지정기탁사업</t>
  </si>
  <si>
    <t>사랑손직업적응훈련시설</t>
  </si>
  <si>
    <t>7) 시설전출금</t>
  </si>
  <si>
    <t>장학사업
지정후원금</t>
  </si>
  <si>
    <t>동화나라어린이집</t>
  </si>
  <si>
    <t>서초3단지어린이집</t>
  </si>
  <si>
    <t xml:space="preserve">동작노인복지관 </t>
  </si>
  <si>
    <t>예비비
및 기타</t>
  </si>
  <si>
    <t>사순절 저금통(개인)</t>
  </si>
  <si>
    <t>한마음한몸
지정후원금</t>
  </si>
  <si>
    <t>바오로교실작업장</t>
  </si>
  <si>
    <t>시설비</t>
  </si>
  <si>
    <t>직책</t>
  </si>
  <si>
    <t>재산</t>
  </si>
  <si>
    <t>원</t>
  </si>
  <si>
    <t>식</t>
  </si>
  <si>
    <t>조성비</t>
  </si>
  <si>
    <t>대</t>
  </si>
  <si>
    <t>수입</t>
  </si>
  <si>
    <t>차량비</t>
  </si>
  <si>
    <t>근속</t>
  </si>
  <si>
    <t>후원금</t>
  </si>
  <si>
    <t>/</t>
  </si>
  <si>
    <t>항</t>
  </si>
  <si>
    <t>회의비</t>
  </si>
  <si>
    <t>업무</t>
  </si>
  <si>
    <t>합계</t>
  </si>
  <si>
    <t>관</t>
  </si>
  <si>
    <t>회</t>
  </si>
  <si>
    <t>월</t>
  </si>
  <si>
    <t>×</t>
  </si>
  <si>
    <t>목</t>
  </si>
  <si>
    <t>=</t>
  </si>
  <si>
    <t>급식비</t>
  </si>
  <si>
    <t>사무비</t>
  </si>
  <si>
    <t>전입금</t>
  </si>
  <si>
    <t>수당</t>
  </si>
  <si>
    <t>소계</t>
  </si>
  <si>
    <t xml:space="preserve"> =</t>
  </si>
  <si>
    <t>전출금</t>
  </si>
  <si>
    <t>예비비</t>
  </si>
  <si>
    <t>지정</t>
  </si>
  <si>
    <t>잡지출</t>
  </si>
  <si>
    <t>x</t>
  </si>
  <si>
    <t>인건비</t>
  </si>
  <si>
    <t xml:space="preserve"> </t>
  </si>
  <si>
    <t>추진비</t>
  </si>
  <si>
    <t>기본</t>
  </si>
  <si>
    <t>비지정</t>
  </si>
  <si>
    <t>명</t>
  </si>
  <si>
    <t>CMS</t>
  </si>
  <si>
    <t>계</t>
  </si>
  <si>
    <t>급여</t>
  </si>
  <si>
    <t>금액</t>
  </si>
  <si>
    <t>반환금</t>
  </si>
  <si>
    <t>잡수입</t>
  </si>
  <si>
    <t>이월금</t>
  </si>
  <si>
    <t>곳</t>
  </si>
  <si>
    <t>비율</t>
  </si>
  <si>
    <t>사업비</t>
  </si>
  <si>
    <t>총계</t>
  </si>
  <si>
    <t>직무</t>
  </si>
  <si>
    <t>법정</t>
  </si>
  <si>
    <t>대부료</t>
  </si>
  <si>
    <t>운영비</t>
  </si>
  <si>
    <t>분기</t>
  </si>
  <si>
    <t>강사비</t>
  </si>
  <si>
    <t xml:space="preserve">  </t>
  </si>
  <si>
    <t>여비</t>
  </si>
  <si>
    <t>천원</t>
  </si>
  <si>
    <t>본봉</t>
  </si>
  <si>
    <t>재원</t>
  </si>
  <si>
    <t>저금통 홍보비(주보간지 대신 외부홍보 예정) 추가</t>
  </si>
  <si>
    <t>경동제약1,603,250원(2,290원 감액)</t>
  </si>
  <si>
    <t>한마음(5,000)+비지정후원(17,562)</t>
  </si>
  <si>
    <t>폐업으로 인한 보육사 위로금 지원(4,662천원)</t>
  </si>
  <si>
    <t>서울가톨릭사회복지회 2021년  세입·세출 예산</t>
  </si>
  <si>
    <t>법인세환급 1,084,350+경동제약5,000천원</t>
  </si>
  <si>
    <t>온라인 홍보컨텐츠 구입</t>
  </si>
  <si>
    <t>서울대교구성당지정후원금</t>
  </si>
  <si>
    <t>사회복지사목 시범본당 운영</t>
  </si>
  <si>
    <t>예다움보듬이나눔이어린이집</t>
  </si>
  <si>
    <t>요안나장학기금 이자수입</t>
  </si>
  <si>
    <t>특별수당(부활,휴가,성탄)</t>
  </si>
  <si>
    <t>비지정후원 차년도이월금</t>
  </si>
  <si>
    <t>본당 자원봉사 
관리및 운영</t>
  </si>
  <si>
    <t>선교200주년장학금 지정후원</t>
  </si>
  <si>
    <t>사무실 및 교육실 임차료</t>
  </si>
  <si>
    <t>성모영보장학사업 지정후원</t>
  </si>
  <si>
    <t>다과구입 등 기타회의비</t>
  </si>
  <si>
    <t>통신사 기지국 임대수입</t>
  </si>
  <si>
    <t>성모영보장학기금  이자수입</t>
  </si>
  <si>
    <t>교구구입 등 기타진행비</t>
  </si>
  <si>
    <t>자동차세 및 자동차보험료</t>
  </si>
  <si>
    <t>직영수탁시설방문 및 축하금</t>
  </si>
  <si>
    <t>한마음, 카사지센 반환금</t>
  </si>
  <si>
    <t>보급형 영상 및 책자 제작</t>
  </si>
  <si>
    <t>희망의밥(바보 개인지정기탁)</t>
  </si>
  <si>
    <t>기타관리비(신청서 제작 등)</t>
  </si>
  <si>
    <t>직영기능보강사업1,350천원</t>
  </si>
  <si>
    <t xml:space="preserve"> 특별과정(가톨릭에코연대)</t>
  </si>
  <si>
    <t>장기근속포상금 9,000천원</t>
  </si>
  <si>
    <t>말가리다장학기금 이자수입</t>
  </si>
  <si>
    <t>2020년 법인세 환급</t>
  </si>
  <si>
    <t xml:space="preserve">본당사회복지자문위원회 </t>
  </si>
  <si>
    <t>코로나19관련 외부교육 감소</t>
  </si>
  <si>
    <t>기타재산수입 및 배당수입</t>
  </si>
  <si>
    <t>스즈끼씨엠씨지정기탁사업</t>
  </si>
  <si>
    <t>장애인고용장려금+시설전출금</t>
  </si>
  <si>
    <t>동자동 임대수입(4층)</t>
  </si>
  <si>
    <t>사업계획서, 보고서 발간</t>
  </si>
  <si>
    <t>기쁜우리월등소송관련비 지원</t>
  </si>
  <si>
    <t>사회복지회 사제 급여 지원금</t>
  </si>
  <si>
    <t>시설전출금+시설전출후원금</t>
  </si>
  <si>
    <t>성지주일(사순)2차헌금</t>
  </si>
  <si>
    <t xml:space="preserve">직영수탁시설 근조기운영 </t>
  </si>
  <si>
    <t>고용장려금 543,010</t>
  </si>
  <si>
    <t>고용장려금 2,260,160</t>
  </si>
  <si>
    <t>경동제악 11,870천원</t>
  </si>
  <si>
    <t>직원교육 및 연수(내외부)</t>
  </si>
  <si>
    <t>비대면회의로 회의비 축소</t>
  </si>
  <si>
    <t>자선주일(대림)2차헌금</t>
  </si>
  <si>
    <t>사회적인식개선 영상제작</t>
  </si>
  <si>
    <t>화해의집 2,650천원 포함</t>
  </si>
  <si>
    <t>시설전출금+장애인고용장려금</t>
  </si>
  <si>
    <t>성탄선물 및 카드 발송</t>
  </si>
  <si>
    <t>전자지급결제대행 수수료</t>
  </si>
  <si>
    <t>등기,평가, 중개수수료 등</t>
  </si>
  <si>
    <t xml:space="preserve"> - 점검단교육비및 평가회비</t>
  </si>
  <si>
    <t>한끼100원나누기 사업비</t>
  </si>
  <si>
    <t>장학금지급(1~12월)</t>
  </si>
  <si>
    <t>통합네트워크시스템 유지비</t>
  </si>
  <si>
    <t>요안나장학사업 지정후원</t>
  </si>
  <si>
    <t>본당사회복지 공모지원사업</t>
  </si>
  <si>
    <t>취약계층지원사업</t>
  </si>
  <si>
    <t>생명존중
문화만들기</t>
  </si>
  <si>
    <t>전기 · 전화요금</t>
  </si>
  <si>
    <t>취약계층 쌀 지원</t>
  </si>
  <si>
    <t>망고보드 이용권</t>
  </si>
  <si>
    <t>동절기노숙인야간순회</t>
  </si>
  <si>
    <t>너울자리공동생활</t>
  </si>
  <si>
    <t>마로니에공동생활</t>
  </si>
  <si>
    <t>취약계층 주거비 지원</t>
  </si>
  <si>
    <t>옥수동아파트 임대수입</t>
  </si>
  <si>
    <t>샛별지역아동센터</t>
  </si>
  <si>
    <t>헬렌켈러공동생활</t>
  </si>
  <si>
    <t xml:space="preserve"> - 특별업무점검비</t>
  </si>
  <si>
    <t>자부담(5,200)</t>
  </si>
  <si>
    <t>노숙인 야간순회</t>
  </si>
  <si>
    <t>한마음(4,800)</t>
  </si>
  <si>
    <t>자부담(200)</t>
  </si>
  <si>
    <t>구리아파트 임대수입</t>
  </si>
  <si>
    <t>하늘자리공동생활</t>
  </si>
  <si>
    <t>신청 인원 감소</t>
  </si>
  <si>
    <t>홍보대사 활동 증가</t>
  </si>
  <si>
    <t>경동제약2,000천원</t>
  </si>
  <si>
    <t>카리타스정체성과정</t>
  </si>
  <si>
    <t xml:space="preserve">
직영수탁
시설관리
</t>
  </si>
  <si>
    <t>가톨릭에코
연대사업</t>
  </si>
  <si>
    <t>웹진 제작비용 반영</t>
  </si>
  <si>
    <t>예산 편성 오류</t>
  </si>
  <si>
    <t>자부담(254)</t>
  </si>
  <si>
    <t>신청 인원 증가</t>
  </si>
  <si>
    <t>시설전출금으로 이동</t>
  </si>
  <si>
    <t>스즈끼씨엠씨 후원금</t>
  </si>
  <si>
    <t>모범본당 운영지원</t>
  </si>
  <si>
    <t>사례집 제작 및 배포</t>
  </si>
  <si>
    <t>시설본당 공동사업지원</t>
  </si>
  <si>
    <t>사업계획 및 평가</t>
  </si>
  <si>
    <t>한우리보호작업장</t>
  </si>
  <si>
    <t>회계감사및 세무조정료</t>
  </si>
  <si>
    <t>헬렌켈러공동생활2</t>
  </si>
  <si>
    <t>한끼100원모금</t>
  </si>
  <si>
    <t>비지정후원 예비비</t>
  </si>
  <si>
    <t>사업수행본당 평가회</t>
  </si>
  <si>
    <t>한우리정보문화센터</t>
  </si>
  <si>
    <t>장학기금
이자수입</t>
  </si>
  <si>
    <t>양천데이케어센터</t>
  </si>
  <si>
    <t>소외계층 긴급지원</t>
  </si>
  <si>
    <t>지정후원 차년도이월금</t>
  </si>
  <si>
    <t>본당사회복지활동지원</t>
  </si>
  <si>
    <t>본당 사업 지원금</t>
  </si>
  <si>
    <t>양천어르신요양센터</t>
  </si>
  <si>
    <t>주교회의 지원금 반환</t>
  </si>
  <si>
    <t>직원 회의비 등</t>
  </si>
  <si>
    <t>지정기탁시설지원 등</t>
  </si>
  <si>
    <t>강일성모노인요양</t>
  </si>
  <si>
    <t>운영위원 회의비</t>
  </si>
  <si>
    <t>사무용  비품구입</t>
  </si>
  <si>
    <t>특별수당(설,추석)</t>
  </si>
  <si>
    <t>마고네지역아동센터</t>
  </si>
  <si>
    <t>화곡성모공동생활</t>
  </si>
  <si>
    <t xml:space="preserve">선종봉사부 반환금 </t>
  </si>
  <si>
    <t>사회적기업진흥원 사업</t>
  </si>
  <si>
    <t>취약계층 긴급지원사업</t>
  </si>
  <si>
    <t>꿈손단기보호시설</t>
  </si>
  <si>
    <t>2. 세입의 주요 재원은 다음과 같다.</t>
  </si>
  <si>
    <t>교구전입금 50만원(2년차 사제연수)</t>
  </si>
  <si>
    <t>사랑손 소송관련 감정비 30,000천원</t>
  </si>
  <si>
    <t>경동제약지정기탁 10,735,750원</t>
  </si>
  <si>
    <t>호스피스기금 지원 12,000천원 포함</t>
  </si>
  <si>
    <t>한마음(13,000)+비지정(5,500)</t>
  </si>
  <si>
    <t>한마음10,000만원/ 비지정520만원</t>
  </si>
  <si>
    <t>한마음 600만원/ 교구전입금 100만원</t>
  </si>
  <si>
    <t>명일동성당지원금(성가정노인복지관지원)</t>
  </si>
  <si>
    <t>이는 차기 추가경정예산에 반영해야 한다.</t>
  </si>
  <si>
    <t>시설전출금+장애인고용장려금+시설전출후원금</t>
  </si>
  <si>
    <t>회</t>
    <phoneticPr fontId="9" type="noConversion"/>
  </si>
  <si>
    <t>한마음(24,650)+후원금(1,800)</t>
    <phoneticPr fontId="9" type="noConversion"/>
  </si>
  <si>
    <t>월</t>
    <phoneticPr fontId="9" type="noConversion"/>
  </si>
  <si>
    <t>사순대림 저금통(본당)</t>
    <phoneticPr fontId="9" type="noConversion"/>
  </si>
  <si>
    <t>성가정데이케어 폐업 잔액</t>
    <phoneticPr fontId="9" type="noConversion"/>
  </si>
  <si>
    <t>캠페인페이지 제작</t>
    <phoneticPr fontId="9" type="noConversion"/>
  </si>
  <si>
    <t>기부금 전달식 등 감소</t>
    <phoneticPr fontId="9" type="noConversion"/>
  </si>
  <si>
    <t>한마음(15,000)+지정후원(15,000)</t>
    <phoneticPr fontId="9" type="noConversion"/>
  </si>
  <si>
    <t>주거비 긴급지원</t>
    <phoneticPr fontId="9" type="noConversion"/>
  </si>
  <si>
    <t>시설 폐지 예정</t>
    <phoneticPr fontId="9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</si>
  <si>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</si>
  <si>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t>인준시설 P/G지원 5,000천원+저소득한부모지원4,000천원</t>
  </si>
  <si>
    <t>직영기능보강사업 17,490천원+경동제약 5,000천원+법인보유금 25,000천원</t>
    <phoneticPr fontId="9" type="noConversion"/>
  </si>
  <si>
    <t>고용장려금 21,396,320+경동제약 15,000천원</t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</si>
  <si>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</si>
  <si>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2021년3차
추경예산(A)</t>
    <phoneticPr fontId="9" type="noConversion"/>
  </si>
  <si>
    <t>2021년4차
추경예산(B)</t>
    <phoneticPr fontId="9" type="noConversion"/>
  </si>
  <si>
    <t>본당</t>
    <phoneticPr fontId="9" type="noConversion"/>
  </si>
  <si>
    <t>회</t>
    <phoneticPr fontId="9" type="noConversion"/>
  </si>
  <si>
    <t>곳</t>
    <phoneticPr fontId="9" type="noConversion"/>
  </si>
  <si>
    <t>사순절/대림절 모금</t>
    <phoneticPr fontId="9" type="noConversion"/>
  </si>
  <si>
    <t>직영기능보강사업 12,576천원+경동제약 비품10,000천원+데이페업잔액 48,793,325원</t>
    <phoneticPr fontId="9" type="noConversion"/>
  </si>
  <si>
    <t>법인세환급 236,010원+직원연차수당지원(박연희 금융사고)2,750천원</t>
    <phoneticPr fontId="9" type="noConversion"/>
  </si>
  <si>
    <t>고용장려금 85,078,970+법인세환급금 103,080원</t>
    <phoneticPr fontId="9" type="noConversion"/>
  </si>
  <si>
    <t>시설종결 감사선물 반영</t>
    <phoneticPr fontId="9" type="noConversion"/>
  </si>
  <si>
    <t>한마음(8,800)+비지정(900)</t>
    <phoneticPr fontId="9" type="noConversion"/>
  </si>
  <si>
    <t>노후시설환경개선지정후원</t>
    <phoneticPr fontId="9" type="noConversion"/>
  </si>
  <si>
    <t>2021년 제4차 추가경정 예산 총칙</t>
    <phoneticPr fontId="9" type="noConversion"/>
  </si>
  <si>
    <t>회</t>
    <phoneticPr fontId="9" type="noConversion"/>
  </si>
  <si>
    <t>사회복지법인 서울가톨릭사회복지회의  2021년 제4차 추가경정예산(안) 세입 · 세출액은 각각8,671,989천원이며</t>
    <phoneticPr fontId="9" type="noConversion"/>
  </si>
  <si>
    <t>2021년 제3차 추가경정예산 대비 1.1%  증가하였다.</t>
    <phoneticPr fontId="9" type="noConversion"/>
  </si>
  <si>
    <t>노무사자문료 12월분 인상</t>
    <phoneticPr fontId="9" type="noConversion"/>
  </si>
  <si>
    <t>한마음(5,000)</t>
    <phoneticPr fontId="9" type="noConversion"/>
  </si>
  <si>
    <t>보호사업</t>
    <phoneticPr fontId="9" type="noConversion"/>
  </si>
  <si>
    <t>사업비</t>
    <phoneticPr fontId="9" type="noConversion"/>
  </si>
  <si>
    <t xml:space="preserve">대외협력
</t>
    <phoneticPr fontId="9" type="noConversion"/>
  </si>
  <si>
    <t>사업</t>
    <phoneticPr fontId="9" type="noConversion"/>
  </si>
  <si>
    <t>성모어린이집</t>
    <phoneticPr fontId="9" type="noConversion"/>
  </si>
  <si>
    <t>서로함께공동생활</t>
    <phoneticPr fontId="9" type="noConversion"/>
  </si>
  <si>
    <t>종합부동산세</t>
    <phoneticPr fontId="9" type="noConversion"/>
  </si>
  <si>
    <t>재산세 및 재산 관련 보험료</t>
    <phoneticPr fontId="9" type="noConversion"/>
  </si>
  <si>
    <t>종합부동산세 125,043,450원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</si>
</sst>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</numFmts>
  <fonts count="29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trike/>
      <sz val="10"/>
      <name val="맑은 고딕"/>
      <family val="3"/>
      <charset val="129"/>
    </font>
    <font>
      <b/>
      <sz val="10"/>
      <name val="굴림체"/>
      <family val="3"/>
      <charset val="129"/>
    </font>
    <font>
      <sz val="10"/>
      <color theme="3" tint="0.39997558519241921"/>
      <name val="맑은 고딕"/>
      <family val="3"/>
      <charset val="129"/>
    </font>
    <font>
      <sz val="10"/>
      <color theme="3" tint="0.3999755851924192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41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76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0" fontId="4" fillId="0" borderId="0" xfId="6" applyNumberFormat="1" applyFont="1" applyBorder="1">
      <alignment vertical="center"/>
    </xf>
    <xf numFmtId="0" fontId="5" fillId="0" borderId="0" xfId="6" applyNumberFormat="1" applyFont="1" applyBorder="1" applyAlignment="1">
      <alignment horizontal="center" vertical="center"/>
    </xf>
    <xf numFmtId="0" fontId="4" fillId="0" borderId="0" xfId="6" applyNumberFormat="1" applyFont="1" applyBorder="1" applyAlignment="1">
      <alignment horizontal="center" vertical="center"/>
    </xf>
    <xf numFmtId="0" fontId="4" fillId="0" borderId="0" xfId="6" quotePrefix="1" applyNumberFormat="1" applyFont="1" applyBorder="1" applyAlignment="1">
      <alignment horizontal="center" vertical="center"/>
    </xf>
    <xf numFmtId="0" fontId="4" fillId="0" borderId="28" xfId="6" applyNumberFormat="1" applyFont="1" applyBorder="1">
      <alignment vertical="center"/>
    </xf>
    <xf numFmtId="0" fontId="4" fillId="0" borderId="17" xfId="6" applyNumberFormat="1" applyFont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>
      <alignment vertical="center"/>
    </xf>
    <xf numFmtId="41" fontId="4" fillId="0" borderId="0" xfId="4" applyNumberFormat="1" applyFont="1" applyFill="1" applyBorder="1">
      <alignment vertical="center"/>
    </xf>
    <xf numFmtId="41" fontId="4" fillId="0" borderId="29" xfId="4" applyNumberFormat="1" applyFont="1" applyBorder="1">
      <alignment vertical="center"/>
    </xf>
    <xf numFmtId="0" fontId="4" fillId="0" borderId="29" xfId="0" applyNumberFormat="1" applyFont="1" applyBorder="1">
      <alignment vertical="center"/>
    </xf>
    <xf numFmtId="0" fontId="5" fillId="0" borderId="29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/>
    </xf>
    <xf numFmtId="0" fontId="4" fillId="0" borderId="29" xfId="0" quotePrefix="1" applyNumberFormat="1" applyFont="1" applyBorder="1" applyAlignment="1">
      <alignment horizontal="center" vertical="center"/>
    </xf>
    <xf numFmtId="0" fontId="4" fillId="0" borderId="20" xfId="0" applyNumberFormat="1" applyFont="1" applyBorder="1">
      <alignment vertical="center"/>
    </xf>
    <xf numFmtId="0" fontId="4" fillId="0" borderId="17" xfId="6" applyNumberFormat="1" applyFont="1" applyBorder="1" applyAlignment="1">
      <alignment horizontal="left" vertical="center" shrinkToFit="1"/>
    </xf>
    <xf numFmtId="41" fontId="4" fillId="0" borderId="0" xfId="4" applyNumberFormat="1" applyFont="1" applyBorder="1">
      <alignment vertical="center"/>
    </xf>
    <xf numFmtId="41" fontId="4" fillId="0" borderId="29" xfId="2" applyNumberFormat="1" applyFont="1" applyBorder="1">
      <alignment vertical="center"/>
    </xf>
    <xf numFmtId="41" fontId="4" fillId="0" borderId="29" xfId="4" applyNumberFormat="1" applyFont="1" applyFill="1" applyBorder="1">
      <alignment vertical="center"/>
    </xf>
    <xf numFmtId="0" fontId="4" fillId="0" borderId="17" xfId="0" applyNumberFormat="1" applyFont="1" applyBorder="1" applyAlignment="1">
      <alignment horizontal="left" vertical="center" shrinkToFit="1"/>
    </xf>
    <xf numFmtId="0" fontId="4" fillId="0" borderId="0" xfId="0" applyNumberFormat="1" applyFont="1" applyFill="1" applyBorder="1">
      <alignment vertical="center"/>
    </xf>
    <xf numFmtId="0" fontId="4" fillId="0" borderId="29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shrinkToFit="1"/>
    </xf>
    <xf numFmtId="0" fontId="4" fillId="0" borderId="17" xfId="0" applyNumberFormat="1" applyFont="1" applyBorder="1" applyAlignment="1">
      <alignment horizontal="left" vertical="center"/>
    </xf>
    <xf numFmtId="0" fontId="4" fillId="0" borderId="30" xfId="0" applyNumberFormat="1" applyFont="1" applyBorder="1" applyAlignment="1">
      <alignment horizontal="left" vertical="center" shrinkToFit="1"/>
    </xf>
    <xf numFmtId="0" fontId="4" fillId="0" borderId="0" xfId="0" applyNumberFormat="1" applyFont="1" applyBorder="1" applyAlignment="1">
      <alignment horizontal="left" vertical="center"/>
    </xf>
    <xf numFmtId="41" fontId="4" fillId="0" borderId="0" xfId="2" applyNumberFormat="1" applyFont="1" applyBorder="1">
      <alignment vertical="center"/>
    </xf>
    <xf numFmtId="0" fontId="4" fillId="0" borderId="0" xfId="0" applyNumberFormat="1" applyFont="1" applyBorder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quotePrefix="1" applyNumberFormat="1" applyFont="1" applyBorder="1" applyAlignment="1">
      <alignment horizontal="center" vertical="center"/>
    </xf>
    <xf numFmtId="0" fontId="4" fillId="0" borderId="28" xfId="0" applyNumberFormat="1" applyFont="1" applyBorder="1">
      <alignment vertical="center"/>
    </xf>
    <xf numFmtId="41" fontId="4" fillId="0" borderId="25" xfId="2" applyNumberFormat="1" applyFont="1" applyBorder="1">
      <alignment vertical="center"/>
    </xf>
    <xf numFmtId="0" fontId="4" fillId="0" borderId="22" xfId="0" applyNumberFormat="1" applyFont="1" applyBorder="1" applyAlignment="1">
      <alignment horizontal="left" vertical="center"/>
    </xf>
    <xf numFmtId="41" fontId="11" fillId="0" borderId="3" xfId="2" applyNumberFormat="1" applyFont="1" applyBorder="1" applyAlignment="1">
      <alignment vertical="center"/>
    </xf>
    <xf numFmtId="41" fontId="11" fillId="0" borderId="39" xfId="2" applyNumberFormat="1" applyFont="1" applyFill="1" applyBorder="1" applyAlignment="1">
      <alignment vertical="center"/>
    </xf>
    <xf numFmtId="3" fontId="11" fillId="0" borderId="3" xfId="2" applyNumberFormat="1" applyFont="1" applyFill="1" applyBorder="1" applyAlignment="1">
      <alignment vertical="center"/>
    </xf>
    <xf numFmtId="180" fontId="11" fillId="0" borderId="3" xfId="2" applyNumberFormat="1" applyFont="1" applyBorder="1" applyAlignment="1">
      <alignment vertical="center"/>
    </xf>
    <xf numFmtId="41" fontId="10" fillId="0" borderId="37" xfId="0" applyNumberFormat="1" applyFont="1" applyBorder="1" applyAlignment="1">
      <alignment vertical="center"/>
    </xf>
    <xf numFmtId="0" fontId="10" fillId="0" borderId="38" xfId="0" applyNumberFormat="1" applyFont="1" applyBorder="1">
      <alignment vertical="center"/>
    </xf>
    <xf numFmtId="41" fontId="10" fillId="0" borderId="37" xfId="4" applyNumberFormat="1" applyFont="1" applyFill="1" applyBorder="1">
      <alignment vertical="center"/>
    </xf>
    <xf numFmtId="0" fontId="10" fillId="0" borderId="37" xfId="0" applyNumberFormat="1" applyFont="1" applyFill="1" applyBorder="1">
      <alignment vertical="center"/>
    </xf>
    <xf numFmtId="0" fontId="12" fillId="0" borderId="37" xfId="0" applyNumberFormat="1" applyFont="1" applyFill="1" applyBorder="1" applyAlignment="1">
      <alignment horizontal="center" vertical="center"/>
    </xf>
    <xf numFmtId="41" fontId="10" fillId="0" borderId="37" xfId="4" applyNumberFormat="1" applyFont="1" applyBorder="1">
      <alignment vertical="center"/>
    </xf>
    <xf numFmtId="0" fontId="10" fillId="0" borderId="0" xfId="0" applyNumberFormat="1" applyFont="1" applyFill="1" applyBorder="1" applyAlignment="1">
      <alignment horizontal="left" vertical="center" shrinkToFit="1"/>
    </xf>
    <xf numFmtId="41" fontId="10" fillId="0" borderId="0" xfId="4" applyNumberFormat="1" applyFont="1" applyFill="1" applyBorder="1">
      <alignment vertical="center"/>
    </xf>
    <xf numFmtId="0" fontId="10" fillId="0" borderId="0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quotePrefix="1" applyNumberFormat="1" applyFont="1" applyBorder="1" applyAlignment="1">
      <alignment horizontal="center" vertical="center"/>
    </xf>
    <xf numFmtId="41" fontId="10" fillId="0" borderId="0" xfId="4" applyNumberFormat="1" applyFont="1" applyBorder="1">
      <alignment vertical="center"/>
    </xf>
    <xf numFmtId="0" fontId="10" fillId="0" borderId="28" xfId="0" applyNumberFormat="1" applyFont="1" applyBorder="1">
      <alignment vertical="center"/>
    </xf>
    <xf numFmtId="0" fontId="10" fillId="0" borderId="37" xfId="0" applyNumberFormat="1" applyFont="1" applyBorder="1">
      <alignment vertical="center"/>
    </xf>
    <xf numFmtId="0" fontId="12" fillId="0" borderId="37" xfId="0" applyNumberFormat="1" applyFont="1" applyBorder="1" applyAlignment="1">
      <alignment horizontal="center" vertical="center"/>
    </xf>
    <xf numFmtId="0" fontId="10" fillId="0" borderId="29" xfId="0" applyNumberFormat="1" applyFont="1" applyBorder="1" applyAlignment="1">
      <alignment horizontal="left" vertical="center"/>
    </xf>
    <xf numFmtId="41" fontId="10" fillId="0" borderId="29" xfId="4" applyNumberFormat="1" applyFont="1" applyBorder="1">
      <alignment vertical="center"/>
    </xf>
    <xf numFmtId="0" fontId="10" fillId="0" borderId="29" xfId="0" applyNumberFormat="1" applyFont="1" applyBorder="1">
      <alignment vertical="center"/>
    </xf>
    <xf numFmtId="0" fontId="12" fillId="0" borderId="29" xfId="0" applyNumberFormat="1" applyFont="1" applyBorder="1" applyAlignment="1">
      <alignment horizontal="center" vertical="center"/>
    </xf>
    <xf numFmtId="0" fontId="10" fillId="0" borderId="29" xfId="0" applyNumberFormat="1" applyFont="1" applyBorder="1" applyAlignment="1">
      <alignment horizontal="center" vertical="center"/>
    </xf>
    <xf numFmtId="0" fontId="10" fillId="0" borderId="29" xfId="0" quotePrefix="1" applyNumberFormat="1" applyFont="1" applyBorder="1" applyAlignment="1">
      <alignment horizontal="center" vertical="center"/>
    </xf>
    <xf numFmtId="0" fontId="10" fillId="0" borderId="20" xfId="0" applyNumberFormat="1" applyFont="1" applyBorder="1">
      <alignment vertical="center"/>
    </xf>
    <xf numFmtId="0" fontId="10" fillId="0" borderId="0" xfId="0" applyNumberFormat="1" applyFont="1" applyBorder="1" applyAlignment="1">
      <alignment horizontal="left" vertical="center"/>
    </xf>
    <xf numFmtId="0" fontId="10" fillId="0" borderId="0" xfId="0" applyNumberFormat="1" applyFont="1" applyBorder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0" fillId="0" borderId="0" xfId="0" quotePrefix="1" applyNumberFormat="1" applyFont="1" applyFill="1" applyBorder="1" applyAlignment="1">
      <alignment horizontal="center" vertical="center"/>
    </xf>
    <xf numFmtId="0" fontId="10" fillId="0" borderId="28" xfId="0" applyNumberFormat="1" applyFont="1" applyFill="1" applyBorder="1">
      <alignment vertical="center"/>
    </xf>
    <xf numFmtId="41" fontId="10" fillId="0" borderId="37" xfId="0" applyNumberFormat="1" applyFont="1" applyFill="1" applyBorder="1">
      <alignment vertical="center"/>
    </xf>
    <xf numFmtId="0" fontId="10" fillId="0" borderId="38" xfId="0" applyNumberFormat="1" applyFont="1" applyFill="1" applyBorder="1">
      <alignment vertical="center"/>
    </xf>
    <xf numFmtId="0" fontId="10" fillId="0" borderId="9" xfId="0" applyNumberFormat="1" applyFont="1" applyBorder="1" applyAlignment="1">
      <alignment horizontal="center" vertical="center"/>
    </xf>
    <xf numFmtId="0" fontId="4" fillId="0" borderId="17" xfId="0" applyNumberFormat="1" applyFont="1" applyBorder="1">
      <alignment vertical="center"/>
    </xf>
    <xf numFmtId="0" fontId="11" fillId="0" borderId="0" xfId="0" applyNumberFormat="1" applyFont="1">
      <alignment vertical="center"/>
    </xf>
    <xf numFmtId="41" fontId="11" fillId="0" borderId="0" xfId="2" applyNumberFormat="1" applyFont="1">
      <alignment vertical="center"/>
    </xf>
    <xf numFmtId="0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3" fontId="17" fillId="0" borderId="0" xfId="2" applyNumberFormat="1" applyFont="1" applyFill="1" applyBorder="1" applyAlignment="1">
      <alignment horizontal="right" vertical="center"/>
    </xf>
    <xf numFmtId="180" fontId="17" fillId="0" borderId="0" xfId="0" applyNumberFormat="1" applyFont="1" applyBorder="1" applyAlignment="1">
      <alignment horizontal="right" vertical="center"/>
    </xf>
    <xf numFmtId="3" fontId="18" fillId="0" borderId="5" xfId="2" applyNumberFormat="1" applyFont="1" applyFill="1" applyBorder="1" applyAlignment="1">
      <alignment horizontal="center" vertical="center"/>
    </xf>
    <xf numFmtId="180" fontId="18" fillId="0" borderId="5" xfId="2" applyNumberFormat="1" applyFont="1" applyBorder="1" applyAlignment="1">
      <alignment horizontal="center" vertical="center"/>
    </xf>
    <xf numFmtId="41" fontId="18" fillId="0" borderId="31" xfId="2" applyNumberFormat="1" applyFont="1" applyBorder="1" applyAlignment="1">
      <alignment horizontal="center" vertical="center"/>
    </xf>
    <xf numFmtId="41" fontId="18" fillId="0" borderId="32" xfId="4" applyNumberFormat="1" applyFont="1" applyFill="1" applyBorder="1" applyAlignment="1">
      <alignment horizontal="center" vertical="center"/>
    </xf>
    <xf numFmtId="3" fontId="18" fillId="0" borderId="31" xfId="2" applyNumberFormat="1" applyFont="1" applyFill="1" applyBorder="1" applyAlignment="1">
      <alignment horizontal="right" vertical="center"/>
    </xf>
    <xf numFmtId="180" fontId="18" fillId="0" borderId="31" xfId="2" applyNumberFormat="1" applyFont="1" applyBorder="1" applyAlignment="1">
      <alignment horizontal="right" vertical="center"/>
    </xf>
    <xf numFmtId="0" fontId="13" fillId="0" borderId="33" xfId="0" applyNumberFormat="1" applyFont="1" applyBorder="1">
      <alignment vertical="center"/>
    </xf>
    <xf numFmtId="0" fontId="13" fillId="0" borderId="33" xfId="0" applyNumberFormat="1" applyFont="1" applyBorder="1" applyAlignment="1">
      <alignment horizontal="center" vertical="center"/>
    </xf>
    <xf numFmtId="41" fontId="19" fillId="0" borderId="33" xfId="0" applyNumberFormat="1" applyFont="1" applyBorder="1">
      <alignment vertical="center"/>
    </xf>
    <xf numFmtId="0" fontId="19" fillId="0" borderId="34" xfId="0" applyNumberFormat="1" applyFont="1" applyBorder="1">
      <alignment vertical="center"/>
    </xf>
    <xf numFmtId="0" fontId="20" fillId="0" borderId="2" xfId="0" applyNumberFormat="1" applyFont="1" applyBorder="1" applyAlignment="1">
      <alignment horizontal="center" vertical="center"/>
    </xf>
    <xf numFmtId="41" fontId="20" fillId="0" borderId="4" xfId="2" applyNumberFormat="1" applyFont="1" applyBorder="1" applyAlignment="1">
      <alignment horizontal="center" vertical="center"/>
    </xf>
    <xf numFmtId="41" fontId="20" fillId="0" borderId="35" xfId="2" applyNumberFormat="1" applyFont="1" applyFill="1" applyBorder="1" applyAlignment="1">
      <alignment horizontal="center" vertical="center"/>
    </xf>
    <xf numFmtId="41" fontId="20" fillId="0" borderId="35" xfId="4" applyNumberFormat="1" applyFont="1" applyFill="1" applyBorder="1" applyAlignment="1">
      <alignment horizontal="center" vertical="center"/>
    </xf>
    <xf numFmtId="3" fontId="20" fillId="0" borderId="18" xfId="2" applyNumberFormat="1" applyFont="1" applyFill="1" applyBorder="1" applyAlignment="1">
      <alignment horizontal="right" vertical="center"/>
    </xf>
    <xf numFmtId="180" fontId="20" fillId="0" borderId="18" xfId="2" applyNumberFormat="1" applyFont="1" applyBorder="1" applyAlignment="1">
      <alignment horizontal="right" vertical="center"/>
    </xf>
    <xf numFmtId="0" fontId="13" fillId="0" borderId="0" xfId="0" applyNumberFormat="1" applyFont="1" applyBorder="1">
      <alignment vertical="center"/>
    </xf>
    <xf numFmtId="0" fontId="13" fillId="0" borderId="0" xfId="0" applyNumberFormat="1" applyFont="1" applyBorder="1" applyAlignment="1">
      <alignment horizontal="center" vertical="center"/>
    </xf>
    <xf numFmtId="41" fontId="19" fillId="0" borderId="0" xfId="0" applyNumberFormat="1" applyFont="1" applyBorder="1">
      <alignment vertical="center"/>
    </xf>
    <xf numFmtId="0" fontId="19" fillId="0" borderId="28" xfId="0" applyNumberFormat="1" applyFont="1" applyBorder="1">
      <alignment vertical="center"/>
    </xf>
    <xf numFmtId="0" fontId="10" fillId="0" borderId="0" xfId="0" applyNumberFormat="1" applyFont="1">
      <alignment vertical="center"/>
    </xf>
    <xf numFmtId="41" fontId="10" fillId="0" borderId="0" xfId="2" applyNumberFormat="1" applyFont="1">
      <alignment vertical="center"/>
    </xf>
    <xf numFmtId="0" fontId="20" fillId="0" borderId="10" xfId="0" applyNumberFormat="1" applyFont="1" applyBorder="1" applyAlignment="1">
      <alignment horizontal="center" vertical="center" shrinkToFit="1"/>
    </xf>
    <xf numFmtId="41" fontId="21" fillId="0" borderId="36" xfId="4" applyNumberFormat="1" applyFont="1" applyFill="1" applyBorder="1" applyAlignment="1">
      <alignment horizontal="center" vertical="center"/>
    </xf>
    <xf numFmtId="3" fontId="11" fillId="0" borderId="9" xfId="2" applyNumberFormat="1" applyFont="1" applyFill="1" applyBorder="1" applyAlignment="1">
      <alignment horizontal="right" vertical="center"/>
    </xf>
    <xf numFmtId="0" fontId="13" fillId="0" borderId="37" xfId="0" applyNumberFormat="1" applyFont="1" applyBorder="1">
      <alignment vertical="center"/>
    </xf>
    <xf numFmtId="0" fontId="13" fillId="0" borderId="37" xfId="0" applyNumberFormat="1" applyFont="1" applyBorder="1" applyAlignment="1">
      <alignment horizontal="center" vertical="center"/>
    </xf>
    <xf numFmtId="41" fontId="10" fillId="0" borderId="37" xfId="0" applyNumberFormat="1" applyFont="1" applyBorder="1">
      <alignment vertical="center"/>
    </xf>
    <xf numFmtId="0" fontId="11" fillId="0" borderId="2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 shrinkToFit="1"/>
    </xf>
    <xf numFmtId="41" fontId="11" fillId="0" borderId="36" xfId="4" applyNumberFormat="1" applyFont="1" applyFill="1" applyBorder="1" applyAlignment="1">
      <alignment horizontal="center" vertical="center"/>
    </xf>
    <xf numFmtId="0" fontId="10" fillId="0" borderId="24" xfId="0" applyNumberFormat="1" applyFont="1" applyBorder="1" applyAlignment="1">
      <alignment horizontal="left" vertical="center"/>
    </xf>
    <xf numFmtId="41" fontId="10" fillId="0" borderId="37" xfId="2" applyNumberFormat="1" applyFont="1" applyBorder="1">
      <alignment vertical="center"/>
    </xf>
    <xf numFmtId="41" fontId="11" fillId="0" borderId="35" xfId="4" applyNumberFormat="1" applyFont="1" applyFill="1" applyBorder="1" applyAlignment="1">
      <alignment horizontal="center" vertical="center"/>
    </xf>
    <xf numFmtId="0" fontId="10" fillId="0" borderId="22" xfId="0" applyNumberFormat="1" applyFont="1" applyBorder="1" applyAlignment="1">
      <alignment horizontal="left" vertical="center" shrinkToFit="1"/>
    </xf>
    <xf numFmtId="41" fontId="10" fillId="0" borderId="0" xfId="4" applyNumberFormat="1" applyFont="1" applyBorder="1" applyAlignment="1">
      <alignment vertical="center"/>
    </xf>
    <xf numFmtId="41" fontId="11" fillId="0" borderId="39" xfId="4" applyNumberFormat="1" applyFont="1" applyFill="1" applyBorder="1" applyAlignment="1">
      <alignment horizontal="center" vertical="center"/>
    </xf>
    <xf numFmtId="0" fontId="10" fillId="0" borderId="22" xfId="0" applyNumberFormat="1" applyFont="1" applyBorder="1" applyAlignment="1">
      <alignment horizontal="left" vertical="center"/>
    </xf>
    <xf numFmtId="41" fontId="10" fillId="0" borderId="29" xfId="2" applyNumberFormat="1" applyFont="1" applyBorder="1">
      <alignment vertical="center"/>
    </xf>
    <xf numFmtId="41" fontId="10" fillId="0" borderId="0" xfId="2" applyNumberFormat="1" applyFont="1" applyBorder="1">
      <alignment vertical="center"/>
    </xf>
    <xf numFmtId="0" fontId="20" fillId="0" borderId="11" xfId="0" applyNumberFormat="1" applyFont="1" applyBorder="1" applyAlignment="1">
      <alignment horizontal="center" vertical="center" shrinkToFit="1"/>
    </xf>
    <xf numFmtId="41" fontId="20" fillId="0" borderId="9" xfId="2" applyNumberFormat="1" applyFont="1" applyBorder="1" applyAlignment="1">
      <alignment horizontal="center" vertical="center"/>
    </xf>
    <xf numFmtId="41" fontId="20" fillId="0" borderId="40" xfId="2" applyNumberFormat="1" applyFont="1" applyFill="1" applyBorder="1" applyAlignment="1">
      <alignment horizontal="center" vertical="center"/>
    </xf>
    <xf numFmtId="41" fontId="20" fillId="0" borderId="9" xfId="4" applyNumberFormat="1" applyFont="1" applyFill="1" applyBorder="1" applyAlignment="1">
      <alignment horizontal="center" vertical="center"/>
    </xf>
    <xf numFmtId="3" fontId="20" fillId="0" borderId="9" xfId="2" applyNumberFormat="1" applyFont="1" applyFill="1" applyBorder="1" applyAlignment="1">
      <alignment horizontal="right" vertical="center"/>
    </xf>
    <xf numFmtId="180" fontId="20" fillId="0" borderId="9" xfId="2" applyNumberFormat="1" applyFont="1" applyBorder="1" applyAlignment="1">
      <alignment horizontal="right" vertical="center"/>
    </xf>
    <xf numFmtId="0" fontId="10" fillId="0" borderId="41" xfId="0" applyNumberFormat="1" applyFont="1" applyBorder="1">
      <alignment vertical="center"/>
    </xf>
    <xf numFmtId="41" fontId="19" fillId="0" borderId="41" xfId="0" applyNumberFormat="1" applyFont="1" applyBorder="1">
      <alignment vertical="center"/>
    </xf>
    <xf numFmtId="0" fontId="19" fillId="0" borderId="25" xfId="0" applyNumberFormat="1" applyFont="1" applyBorder="1">
      <alignment vertical="center"/>
    </xf>
    <xf numFmtId="41" fontId="11" fillId="0" borderId="39" xfId="2" applyNumberFormat="1" applyFont="1" applyBorder="1" applyAlignment="1">
      <alignment horizontal="center" vertical="center"/>
    </xf>
    <xf numFmtId="41" fontId="21" fillId="0" borderId="3" xfId="4" applyNumberFormat="1" applyFont="1" applyFill="1" applyBorder="1" applyAlignment="1">
      <alignment horizontal="center" vertical="center"/>
    </xf>
    <xf numFmtId="41" fontId="10" fillId="0" borderId="0" xfId="0" applyNumberFormat="1" applyFont="1" applyBorder="1">
      <alignment vertical="center"/>
    </xf>
    <xf numFmtId="0" fontId="10" fillId="0" borderId="22" xfId="0" applyNumberFormat="1" applyFont="1" applyFill="1" applyBorder="1" applyAlignment="1">
      <alignment horizontal="left" vertical="center" shrinkToFit="1"/>
    </xf>
    <xf numFmtId="0" fontId="20" fillId="0" borderId="16" xfId="0" applyNumberFormat="1" applyFont="1" applyBorder="1" applyAlignment="1">
      <alignment horizontal="center" vertical="center"/>
    </xf>
    <xf numFmtId="0" fontId="20" fillId="0" borderId="3" xfId="0" applyNumberFormat="1" applyFont="1" applyBorder="1" applyAlignment="1">
      <alignment horizontal="center" vertical="center"/>
    </xf>
    <xf numFmtId="0" fontId="10" fillId="0" borderId="42" xfId="0" applyNumberFormat="1" applyFont="1" applyFill="1" applyBorder="1" applyAlignment="1">
      <alignment horizontal="left" vertical="center" shrinkToFit="1"/>
    </xf>
    <xf numFmtId="41" fontId="10" fillId="0" borderId="29" xfId="4" applyNumberFormat="1" applyFont="1" applyFill="1" applyBorder="1">
      <alignment vertical="center"/>
    </xf>
    <xf numFmtId="0" fontId="10" fillId="0" borderId="29" xfId="0" applyNumberFormat="1" applyFont="1" applyFill="1" applyBorder="1" applyAlignment="1">
      <alignment horizontal="center" vertical="center"/>
    </xf>
    <xf numFmtId="0" fontId="12" fillId="0" borderId="29" xfId="0" applyNumberFormat="1" applyFont="1" applyFill="1" applyBorder="1" applyAlignment="1">
      <alignment horizontal="center" vertical="center"/>
    </xf>
    <xf numFmtId="0" fontId="10" fillId="0" borderId="29" xfId="0" quotePrefix="1" applyNumberFormat="1" applyFont="1" applyFill="1" applyBorder="1" applyAlignment="1">
      <alignment horizontal="center" vertical="center"/>
    </xf>
    <xf numFmtId="0" fontId="10" fillId="0" borderId="20" xfId="0" applyNumberFormat="1" applyFont="1" applyFill="1" applyBorder="1">
      <alignment vertical="center"/>
    </xf>
    <xf numFmtId="41" fontId="20" fillId="0" borderId="40" xfId="4" applyNumberFormat="1" applyFont="1" applyFill="1" applyBorder="1" applyAlignment="1">
      <alignment horizontal="center" vertical="center"/>
    </xf>
    <xf numFmtId="0" fontId="19" fillId="0" borderId="41" xfId="0" applyNumberFormat="1" applyFont="1" applyBorder="1">
      <alignment vertical="center"/>
    </xf>
    <xf numFmtId="0" fontId="19" fillId="0" borderId="41" xfId="0" applyNumberFormat="1" applyFont="1" applyBorder="1" applyAlignment="1">
      <alignment horizontal="center" vertical="center"/>
    </xf>
    <xf numFmtId="41" fontId="11" fillId="0" borderId="9" xfId="2" applyNumberFormat="1" applyFont="1" applyBorder="1" applyAlignment="1">
      <alignment horizontal="center" vertical="center"/>
    </xf>
    <xf numFmtId="41" fontId="11" fillId="0" borderId="40" xfId="2" applyNumberFormat="1" applyFont="1" applyFill="1" applyBorder="1" applyAlignment="1">
      <alignment horizontal="center" vertical="center"/>
    </xf>
    <xf numFmtId="41" fontId="21" fillId="0" borderId="40" xfId="4" applyNumberFormat="1" applyFont="1" applyFill="1" applyBorder="1" applyAlignment="1">
      <alignment horizontal="center" vertical="center"/>
    </xf>
    <xf numFmtId="0" fontId="10" fillId="0" borderId="8" xfId="0" applyNumberFormat="1" applyFont="1" applyBorder="1">
      <alignment vertical="center"/>
    </xf>
    <xf numFmtId="41" fontId="10" fillId="0" borderId="41" xfId="0" applyNumberFormat="1" applyFont="1" applyBorder="1">
      <alignment vertical="center"/>
    </xf>
    <xf numFmtId="0" fontId="10" fillId="0" borderId="25" xfId="0" applyNumberFormat="1" applyFont="1" applyBorder="1">
      <alignment vertical="center"/>
    </xf>
    <xf numFmtId="0" fontId="10" fillId="0" borderId="22" xfId="0" applyNumberFormat="1" applyFont="1" applyBorder="1">
      <alignment vertical="center"/>
    </xf>
    <xf numFmtId="0" fontId="20" fillId="0" borderId="11" xfId="0" applyNumberFormat="1" applyFont="1" applyBorder="1" applyAlignment="1">
      <alignment horizontal="center" vertical="center"/>
    </xf>
    <xf numFmtId="0" fontId="10" fillId="0" borderId="41" xfId="0" applyNumberFormat="1" applyFont="1" applyFill="1" applyBorder="1">
      <alignment vertical="center"/>
    </xf>
    <xf numFmtId="0" fontId="10" fillId="0" borderId="41" xfId="0" applyNumberFormat="1" applyFont="1" applyFill="1" applyBorder="1" applyAlignment="1">
      <alignment vertical="center"/>
    </xf>
    <xf numFmtId="0" fontId="10" fillId="0" borderId="41" xfId="0" applyNumberFormat="1" applyFont="1" applyFill="1" applyBorder="1" applyAlignment="1">
      <alignment horizontal="center" vertical="center"/>
    </xf>
    <xf numFmtId="41" fontId="19" fillId="0" borderId="41" xfId="0" applyNumberFormat="1" applyFont="1" applyFill="1" applyBorder="1">
      <alignment vertical="center"/>
    </xf>
    <xf numFmtId="0" fontId="19" fillId="0" borderId="25" xfId="0" applyNumberFormat="1" applyFont="1" applyFill="1" applyBorder="1">
      <alignment vertical="center"/>
    </xf>
    <xf numFmtId="0" fontId="10" fillId="0" borderId="0" xfId="0" applyNumberFormat="1" applyFont="1" applyFill="1" applyBorder="1" applyAlignment="1">
      <alignment vertical="center"/>
    </xf>
    <xf numFmtId="41" fontId="10" fillId="0" borderId="0" xfId="0" applyNumberFormat="1" applyFont="1" applyFill="1" applyBorder="1">
      <alignment vertical="center"/>
    </xf>
    <xf numFmtId="0" fontId="10" fillId="0" borderId="24" xfId="0" applyNumberFormat="1" applyFont="1" applyFill="1" applyBorder="1" applyAlignment="1">
      <alignment horizontal="left" vertical="center"/>
    </xf>
    <xf numFmtId="41" fontId="10" fillId="0" borderId="37" xfId="2" applyNumberFormat="1" applyFont="1" applyFill="1" applyBorder="1">
      <alignment vertical="center"/>
    </xf>
    <xf numFmtId="0" fontId="10" fillId="0" borderId="37" xfId="0" applyNumberFormat="1" applyFont="1" applyFill="1" applyBorder="1" applyAlignment="1">
      <alignment vertical="center"/>
    </xf>
    <xf numFmtId="0" fontId="10" fillId="0" borderId="22" xfId="0" applyNumberFormat="1" applyFont="1" applyFill="1" applyBorder="1" applyAlignment="1">
      <alignment horizontal="left" vertical="center"/>
    </xf>
    <xf numFmtId="41" fontId="10" fillId="0" borderId="0" xfId="4" applyNumberFormat="1" applyFont="1" applyFill="1" applyBorder="1" applyAlignment="1">
      <alignment horizontal="center" vertical="center"/>
    </xf>
    <xf numFmtId="0" fontId="19" fillId="0" borderId="24" xfId="0" applyNumberFormat="1" applyFont="1" applyBorder="1" applyAlignment="1">
      <alignment horizontal="left" vertical="center"/>
    </xf>
    <xf numFmtId="0" fontId="10" fillId="4" borderId="22" xfId="0" applyNumberFormat="1" applyFont="1" applyFill="1" applyBorder="1" applyAlignment="1">
      <alignment horizontal="left" vertical="center"/>
    </xf>
    <xf numFmtId="41" fontId="10" fillId="4" borderId="0" xfId="4" applyNumberFormat="1" applyFont="1" applyFill="1" applyBorder="1">
      <alignment vertical="center"/>
    </xf>
    <xf numFmtId="0" fontId="10" fillId="4" borderId="0" xfId="0" applyNumberFormat="1" applyFont="1" applyFill="1" applyBorder="1" applyAlignment="1">
      <alignment horizontal="center" vertical="center"/>
    </xf>
    <xf numFmtId="0" fontId="12" fillId="4" borderId="0" xfId="0" applyNumberFormat="1" applyFont="1" applyFill="1" applyBorder="1" applyAlignment="1">
      <alignment horizontal="center" vertical="center"/>
    </xf>
    <xf numFmtId="0" fontId="10" fillId="4" borderId="0" xfId="0" quotePrefix="1" applyNumberFormat="1" applyFont="1" applyFill="1" applyBorder="1" applyAlignment="1">
      <alignment horizontal="center" vertical="center"/>
    </xf>
    <xf numFmtId="0" fontId="10" fillId="4" borderId="28" xfId="0" applyNumberFormat="1" applyFont="1" applyFill="1" applyBorder="1">
      <alignment vertical="center"/>
    </xf>
    <xf numFmtId="41" fontId="10" fillId="0" borderId="0" xfId="2" applyNumberFormat="1" applyFont="1" applyFill="1">
      <alignment vertical="center"/>
    </xf>
    <xf numFmtId="0" fontId="19" fillId="0" borderId="24" xfId="0" applyNumberFormat="1" applyFont="1" applyFill="1" applyBorder="1" applyAlignment="1">
      <alignment horizontal="left" vertical="center"/>
    </xf>
    <xf numFmtId="0" fontId="11" fillId="0" borderId="12" xfId="0" applyNumberFormat="1" applyFont="1" applyBorder="1" applyAlignment="1">
      <alignment horizontal="center" vertical="center"/>
    </xf>
    <xf numFmtId="0" fontId="11" fillId="0" borderId="14" xfId="0" applyNumberFormat="1" applyFont="1" applyBorder="1" applyAlignment="1">
      <alignment horizontal="center" vertical="center"/>
    </xf>
    <xf numFmtId="0" fontId="10" fillId="0" borderId="6" xfId="0" quotePrefix="1" applyNumberFormat="1" applyFont="1" applyFill="1" applyBorder="1" applyAlignment="1">
      <alignment horizontal="left" vertical="center" shrinkToFit="1"/>
    </xf>
    <xf numFmtId="41" fontId="10" fillId="0" borderId="6" xfId="4" applyNumberFormat="1" applyFont="1" applyFill="1" applyBorder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0" fillId="0" borderId="6" xfId="0" quotePrefix="1" applyNumberFormat="1" applyFont="1" applyFill="1" applyBorder="1" applyAlignment="1">
      <alignment horizontal="center" vertical="center"/>
    </xf>
    <xf numFmtId="0" fontId="10" fillId="0" borderId="43" xfId="0" applyNumberFormat="1" applyFont="1" applyFill="1" applyBorder="1">
      <alignment vertical="center"/>
    </xf>
    <xf numFmtId="0" fontId="10" fillId="0" borderId="42" xfId="0" applyNumberFormat="1" applyFont="1" applyFill="1" applyBorder="1" applyAlignment="1">
      <alignment horizontal="left" vertical="center"/>
    </xf>
    <xf numFmtId="0" fontId="19" fillId="0" borderId="28" xfId="0" applyNumberFormat="1" applyFont="1" applyFill="1" applyBorder="1">
      <alignment vertical="center"/>
    </xf>
    <xf numFmtId="178" fontId="11" fillId="0" borderId="40" xfId="2" applyNumberFormat="1" applyFont="1" applyFill="1" applyBorder="1" applyAlignment="1">
      <alignment horizontal="right" vertical="center"/>
    </xf>
    <xf numFmtId="41" fontId="11" fillId="0" borderId="40" xfId="4" applyNumberFormat="1" applyFont="1" applyFill="1" applyBorder="1" applyAlignment="1">
      <alignment horizontal="center" vertical="center"/>
    </xf>
    <xf numFmtId="0" fontId="10" fillId="0" borderId="42" xfId="0" applyNumberFormat="1" applyFont="1" applyBorder="1" applyAlignment="1">
      <alignment horizontal="left" vertical="center"/>
    </xf>
    <xf numFmtId="0" fontId="19" fillId="0" borderId="0" xfId="0" quotePrefix="1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3" fillId="0" borderId="22" xfId="0" applyNumberFormat="1" applyFont="1" applyFill="1" applyBorder="1" applyAlignment="1">
      <alignment horizontal="left" vertical="center" shrinkToFit="1"/>
    </xf>
    <xf numFmtId="0" fontId="11" fillId="0" borderId="16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41" fontId="11" fillId="0" borderId="40" xfId="2" applyNumberFormat="1" applyFont="1" applyBorder="1" applyAlignment="1">
      <alignment horizontal="center" vertical="center"/>
    </xf>
    <xf numFmtId="41" fontId="21" fillId="0" borderId="9" xfId="4" applyNumberFormat="1" applyFont="1" applyFill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 shrinkToFit="1"/>
    </xf>
    <xf numFmtId="41" fontId="11" fillId="0" borderId="10" xfId="2" applyNumberFormat="1" applyFont="1" applyBorder="1" applyAlignment="1">
      <alignment horizontal="right" vertical="center"/>
    </xf>
    <xf numFmtId="41" fontId="11" fillId="0" borderId="36" xfId="2" applyNumberFormat="1" applyFont="1" applyFill="1" applyBorder="1" applyAlignment="1">
      <alignment horizontal="right" vertical="center"/>
    </xf>
    <xf numFmtId="41" fontId="11" fillId="0" borderId="10" xfId="4" applyNumberFormat="1" applyFont="1" applyFill="1" applyBorder="1" applyAlignment="1">
      <alignment horizontal="right" vertical="center"/>
    </xf>
    <xf numFmtId="0" fontId="10" fillId="0" borderId="8" xfId="0" applyNumberFormat="1" applyFont="1" applyBorder="1" applyAlignment="1">
      <alignment horizontal="left" vertical="center"/>
    </xf>
    <xf numFmtId="41" fontId="10" fillId="0" borderId="41" xfId="2" applyNumberFormat="1" applyFont="1" applyBorder="1">
      <alignment vertical="center"/>
    </xf>
    <xf numFmtId="0" fontId="12" fillId="0" borderId="41" xfId="0" applyNumberFormat="1" applyFont="1" applyBorder="1" applyAlignment="1">
      <alignment horizontal="center" vertical="center"/>
    </xf>
    <xf numFmtId="0" fontId="10" fillId="0" borderId="41" xfId="0" quotePrefix="1" applyNumberFormat="1" applyFont="1" applyBorder="1" applyAlignment="1">
      <alignment horizontal="center" vertical="center"/>
    </xf>
    <xf numFmtId="41" fontId="10" fillId="0" borderId="41" xfId="4" applyNumberFormat="1" applyFont="1" applyBorder="1">
      <alignment vertical="center"/>
    </xf>
    <xf numFmtId="0" fontId="10" fillId="0" borderId="37" xfId="0" quotePrefix="1" applyNumberFormat="1" applyFont="1" applyBorder="1" applyAlignment="1">
      <alignment horizontal="center" vertical="center"/>
    </xf>
    <xf numFmtId="41" fontId="20" fillId="0" borderId="10" xfId="2" applyNumberFormat="1" applyFont="1" applyBorder="1" applyAlignment="1">
      <alignment horizontal="center" vertical="center"/>
    </xf>
    <xf numFmtId="41" fontId="20" fillId="0" borderId="40" xfId="2" applyNumberFormat="1" applyFont="1" applyBorder="1" applyAlignment="1">
      <alignment horizontal="center" vertical="center"/>
    </xf>
    <xf numFmtId="3" fontId="20" fillId="0" borderId="9" xfId="2" applyNumberFormat="1" applyFont="1" applyBorder="1" applyAlignment="1">
      <alignment horizontal="right" vertical="center"/>
    </xf>
    <xf numFmtId="41" fontId="19" fillId="0" borderId="37" xfId="4" applyNumberFormat="1" applyFont="1" applyBorder="1">
      <alignment vertical="center"/>
    </xf>
    <xf numFmtId="0" fontId="19" fillId="0" borderId="38" xfId="0" applyNumberFormat="1" applyFont="1" applyBorder="1">
      <alignment vertical="center"/>
    </xf>
    <xf numFmtId="41" fontId="11" fillId="0" borderId="9" xfId="4" applyNumberFormat="1" applyFont="1" applyFill="1" applyBorder="1" applyAlignment="1">
      <alignment horizontal="right" vertical="center"/>
    </xf>
    <xf numFmtId="41" fontId="11" fillId="0" borderId="9" xfId="4" applyNumberFormat="1" applyFont="1" applyFill="1" applyBorder="1" applyAlignment="1">
      <alignment horizontal="center" vertical="center"/>
    </xf>
    <xf numFmtId="0" fontId="13" fillId="0" borderId="8" xfId="0" applyNumberFormat="1" applyFont="1" applyBorder="1" applyAlignment="1">
      <alignment vertical="center" shrinkToFit="1"/>
    </xf>
    <xf numFmtId="41" fontId="10" fillId="0" borderId="0" xfId="2" applyNumberFormat="1" applyFont="1" applyFill="1" applyBorder="1">
      <alignment vertical="center"/>
    </xf>
    <xf numFmtId="0" fontId="10" fillId="0" borderId="44" xfId="0" applyNumberFormat="1" applyFont="1" applyBorder="1" applyAlignment="1">
      <alignment horizontal="left" vertical="center"/>
    </xf>
    <xf numFmtId="41" fontId="10" fillId="0" borderId="6" xfId="2" applyNumberFormat="1" applyFont="1" applyBorder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0" fillId="0" borderId="6" xfId="0" quotePrefix="1" applyNumberFormat="1" applyFont="1" applyBorder="1" applyAlignment="1">
      <alignment horizontal="center" vertical="center"/>
    </xf>
    <xf numFmtId="0" fontId="10" fillId="0" borderId="43" xfId="0" applyNumberFormat="1" applyFont="1" applyBorder="1">
      <alignment vertical="center"/>
    </xf>
    <xf numFmtId="41" fontId="11" fillId="0" borderId="0" xfId="2" applyNumberFormat="1" applyFont="1" applyAlignment="1">
      <alignment horizontal="center" vertical="center"/>
    </xf>
    <xf numFmtId="41" fontId="11" fillId="0" borderId="0" xfId="2" applyNumberFormat="1" applyFont="1" applyFill="1" applyAlignment="1">
      <alignment horizontal="center" vertical="center"/>
    </xf>
    <xf numFmtId="3" fontId="11" fillId="0" borderId="0" xfId="2" applyNumberFormat="1" applyFont="1" applyFill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0" fontId="13" fillId="0" borderId="0" xfId="0" applyNumberFormat="1" applyFont="1">
      <alignment vertical="center"/>
    </xf>
    <xf numFmtId="0" fontId="13" fillId="0" borderId="0" xfId="0" applyNumberFormat="1" applyFont="1" applyAlignment="1">
      <alignment horizontal="center" vertical="center"/>
    </xf>
    <xf numFmtId="178" fontId="4" fillId="0" borderId="0" xfId="2" applyNumberFormat="1" applyFont="1" applyBorder="1">
      <alignment vertical="center"/>
    </xf>
    <xf numFmtId="178" fontId="4" fillId="0" borderId="29" xfId="4" applyNumberFormat="1" applyFont="1" applyBorder="1">
      <alignment vertical="center"/>
    </xf>
    <xf numFmtId="0" fontId="6" fillId="0" borderId="17" xfId="0" applyNumberFormat="1" applyFont="1" applyBorder="1" applyAlignment="1">
      <alignment horizontal="left" vertical="center"/>
    </xf>
    <xf numFmtId="178" fontId="11" fillId="0" borderId="0" xfId="2" applyNumberFormat="1" applyFont="1" applyAlignment="1">
      <alignment horizontal="right" vertical="center"/>
    </xf>
    <xf numFmtId="179" fontId="11" fillId="0" borderId="0" xfId="2" applyNumberFormat="1" applyFont="1" applyAlignment="1">
      <alignment vertical="center"/>
    </xf>
    <xf numFmtId="0" fontId="13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center" vertical="center"/>
    </xf>
    <xf numFmtId="41" fontId="21" fillId="0" borderId="0" xfId="2" applyNumberFormat="1" applyFont="1">
      <alignment vertical="center"/>
    </xf>
    <xf numFmtId="41" fontId="17" fillId="0" borderId="0" xfId="2" applyNumberFormat="1" applyFont="1" applyFill="1" applyBorder="1" applyAlignment="1">
      <alignment horizontal="center" vertical="center"/>
    </xf>
    <xf numFmtId="41" fontId="17" fillId="0" borderId="0" xfId="2" applyNumberFormat="1" applyFont="1" applyBorder="1" applyAlignment="1">
      <alignment horizontal="center" vertical="center"/>
    </xf>
    <xf numFmtId="178" fontId="17" fillId="0" borderId="0" xfId="2" applyNumberFormat="1" applyFont="1" applyBorder="1" applyAlignment="1">
      <alignment horizontal="right" vertical="center"/>
    </xf>
    <xf numFmtId="179" fontId="17" fillId="0" borderId="0" xfId="2" applyNumberFormat="1" applyFont="1" applyBorder="1" applyAlignment="1">
      <alignment vertical="center"/>
    </xf>
    <xf numFmtId="41" fontId="18" fillId="0" borderId="45" xfId="2" applyNumberFormat="1" applyFont="1" applyBorder="1" applyAlignment="1">
      <alignment horizontal="center" vertical="center"/>
    </xf>
    <xf numFmtId="179" fontId="18" fillId="0" borderId="45" xfId="2" applyNumberFormat="1" applyFont="1" applyBorder="1" applyAlignment="1">
      <alignment vertical="center"/>
    </xf>
    <xf numFmtId="41" fontId="18" fillId="0" borderId="46" xfId="2" applyNumberFormat="1" applyFont="1" applyBorder="1" applyAlignment="1">
      <alignment horizontal="center" vertical="center"/>
    </xf>
    <xf numFmtId="41" fontId="18" fillId="2" borderId="47" xfId="4" applyNumberFormat="1" applyFont="1" applyFill="1" applyBorder="1" applyAlignment="1">
      <alignment horizontal="center" vertical="center"/>
    </xf>
    <xf numFmtId="178" fontId="18" fillId="0" borderId="48" xfId="2" applyNumberFormat="1" applyFont="1" applyBorder="1" applyAlignment="1">
      <alignment horizontal="right" vertical="center"/>
    </xf>
    <xf numFmtId="179" fontId="18" fillId="0" borderId="48" xfId="2" applyNumberFormat="1" applyFont="1" applyBorder="1" applyAlignment="1">
      <alignment vertical="center"/>
    </xf>
    <xf numFmtId="0" fontId="13" fillId="0" borderId="49" xfId="0" applyNumberFormat="1" applyFont="1" applyBorder="1">
      <alignment vertical="center"/>
    </xf>
    <xf numFmtId="0" fontId="13" fillId="0" borderId="50" xfId="0" applyNumberFormat="1" applyFont="1" applyBorder="1">
      <alignment vertical="center"/>
    </xf>
    <xf numFmtId="41" fontId="19" fillId="0" borderId="50" xfId="2" applyNumberFormat="1" applyFont="1" applyBorder="1" applyAlignment="1">
      <alignment horizontal="center" vertical="center"/>
    </xf>
    <xf numFmtId="0" fontId="14" fillId="0" borderId="51" xfId="0" applyNumberFormat="1" applyFont="1" applyBorder="1">
      <alignment vertical="center"/>
    </xf>
    <xf numFmtId="41" fontId="11" fillId="0" borderId="25" xfId="2" applyNumberFormat="1" applyFont="1" applyBorder="1">
      <alignment vertical="center"/>
    </xf>
    <xf numFmtId="41" fontId="18" fillId="0" borderId="52" xfId="2" applyNumberFormat="1" applyFont="1" applyFill="1" applyBorder="1" applyAlignment="1">
      <alignment horizontal="center" vertical="center"/>
    </xf>
    <xf numFmtId="41" fontId="18" fillId="0" borderId="52" xfId="2" applyNumberFormat="1" applyFont="1" applyBorder="1" applyAlignment="1">
      <alignment horizontal="center" vertical="center"/>
    </xf>
    <xf numFmtId="41" fontId="18" fillId="2" borderId="52" xfId="4" applyNumberFormat="1" applyFont="1" applyFill="1" applyBorder="1" applyAlignment="1">
      <alignment horizontal="center" vertical="center"/>
    </xf>
    <xf numFmtId="178" fontId="18" fillId="0" borderId="52" xfId="2" applyNumberFormat="1" applyFont="1" applyBorder="1" applyAlignment="1">
      <alignment horizontal="right" vertical="center"/>
    </xf>
    <xf numFmtId="179" fontId="18" fillId="0" borderId="52" xfId="2" applyNumberFormat="1" applyFont="1" applyBorder="1" applyAlignment="1">
      <alignment vertical="center"/>
    </xf>
    <xf numFmtId="0" fontId="13" fillId="0" borderId="21" xfId="0" applyNumberFormat="1" applyFont="1" applyBorder="1" applyAlignment="1">
      <alignment horizontal="left" vertical="center"/>
    </xf>
    <xf numFmtId="41" fontId="10" fillId="0" borderId="53" xfId="2" applyNumberFormat="1" applyFont="1" applyBorder="1">
      <alignment vertical="center"/>
    </xf>
    <xf numFmtId="0" fontId="10" fillId="0" borderId="53" xfId="0" applyNumberFormat="1" applyFont="1" applyBorder="1">
      <alignment vertical="center"/>
    </xf>
    <xf numFmtId="0" fontId="10" fillId="0" borderId="53" xfId="0" applyNumberFormat="1" applyFont="1" applyBorder="1" applyAlignment="1">
      <alignment horizontal="center" vertical="center"/>
    </xf>
    <xf numFmtId="41" fontId="19" fillId="0" borderId="53" xfId="2" applyNumberFormat="1" applyFont="1" applyBorder="1">
      <alignment vertical="center"/>
    </xf>
    <xf numFmtId="0" fontId="19" fillId="0" borderId="54" xfId="0" applyNumberFormat="1" applyFont="1" applyBorder="1">
      <alignment vertical="center"/>
    </xf>
    <xf numFmtId="41" fontId="11" fillId="0" borderId="2" xfId="2" applyNumberFormat="1" applyFont="1" applyBorder="1" applyAlignment="1">
      <alignment horizontal="center" vertical="center"/>
    </xf>
    <xf numFmtId="0" fontId="18" fillId="0" borderId="22" xfId="0" applyNumberFormat="1" applyFont="1" applyBorder="1" applyAlignment="1">
      <alignment horizontal="center" vertical="center"/>
    </xf>
    <xf numFmtId="41" fontId="18" fillId="0" borderId="23" xfId="2" applyNumberFormat="1" applyFont="1" applyFill="1" applyBorder="1" applyAlignment="1">
      <alignment horizontal="center" vertical="center"/>
    </xf>
    <xf numFmtId="41" fontId="18" fillId="0" borderId="23" xfId="2" applyNumberFormat="1" applyFont="1" applyBorder="1" applyAlignment="1">
      <alignment horizontal="center" vertical="center"/>
    </xf>
    <xf numFmtId="41" fontId="18" fillId="2" borderId="23" xfId="4" applyNumberFormat="1" applyFont="1" applyFill="1" applyBorder="1" applyAlignment="1">
      <alignment horizontal="center" vertical="center"/>
    </xf>
    <xf numFmtId="178" fontId="18" fillId="0" borderId="23" xfId="2" applyNumberFormat="1" applyFont="1" applyBorder="1" applyAlignment="1">
      <alignment horizontal="right" vertical="center"/>
    </xf>
    <xf numFmtId="179" fontId="18" fillId="0" borderId="23" xfId="2" applyNumberFormat="1" applyFont="1" applyBorder="1" applyAlignment="1">
      <alignment vertical="center"/>
    </xf>
    <xf numFmtId="0" fontId="13" fillId="0" borderId="22" xfId="0" applyNumberFormat="1" applyFont="1" applyBorder="1" applyAlignment="1">
      <alignment horizontal="left" vertical="center"/>
    </xf>
    <xf numFmtId="41" fontId="10" fillId="0" borderId="25" xfId="2" applyNumberFormat="1" applyFont="1" applyBorder="1">
      <alignment vertical="center"/>
    </xf>
    <xf numFmtId="41" fontId="23" fillId="3" borderId="55" xfId="2" applyNumberFormat="1" applyFont="1" applyFill="1" applyBorder="1" applyAlignment="1">
      <alignment horizontal="center" vertical="distributed"/>
    </xf>
    <xf numFmtId="41" fontId="24" fillId="3" borderId="55" xfId="2" applyNumberFormat="1" applyFont="1" applyFill="1" applyBorder="1" applyAlignment="1">
      <alignment horizontal="center" vertical="distributed"/>
    </xf>
    <xf numFmtId="41" fontId="24" fillId="3" borderId="0" xfId="2" applyNumberFormat="1" applyFont="1" applyFill="1" applyBorder="1" applyAlignment="1">
      <alignment horizontal="center" vertical="distributed"/>
    </xf>
    <xf numFmtId="0" fontId="10" fillId="0" borderId="17" xfId="0" applyNumberFormat="1" applyFont="1" applyBorder="1" applyAlignment="1">
      <alignment horizontal="left" vertical="center"/>
    </xf>
    <xf numFmtId="3" fontId="10" fillId="0" borderId="0" xfId="0" applyNumberFormat="1" applyFont="1" applyBorder="1">
      <alignment vertical="center"/>
    </xf>
    <xf numFmtId="0" fontId="10" fillId="0" borderId="30" xfId="0" applyNumberFormat="1" applyFont="1" applyBorder="1" applyAlignment="1">
      <alignment horizontal="left" vertical="center"/>
    </xf>
    <xf numFmtId="0" fontId="10" fillId="0" borderId="17" xfId="0" applyNumberFormat="1" applyFont="1" applyBorder="1" applyAlignment="1">
      <alignment horizontal="left" vertical="center" shrinkToFit="1"/>
    </xf>
    <xf numFmtId="0" fontId="20" fillId="0" borderId="4" xfId="0" applyNumberFormat="1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left" vertical="center"/>
    </xf>
    <xf numFmtId="0" fontId="11" fillId="0" borderId="17" xfId="0" applyNumberFormat="1" applyFont="1" applyBorder="1" applyAlignment="1">
      <alignment horizontal="center" vertical="center"/>
    </xf>
    <xf numFmtId="0" fontId="10" fillId="0" borderId="17" xfId="0" applyNumberFormat="1" applyFont="1" applyBorder="1">
      <alignment vertical="center"/>
    </xf>
    <xf numFmtId="0" fontId="19" fillId="0" borderId="37" xfId="0" applyNumberFormat="1" applyFont="1" applyBorder="1" applyAlignment="1">
      <alignment horizontal="left" vertical="center"/>
    </xf>
    <xf numFmtId="0" fontId="20" fillId="0" borderId="24" xfId="0" applyNumberFormat="1" applyFont="1" applyBorder="1" applyAlignment="1">
      <alignment horizontal="center" vertical="center"/>
    </xf>
    <xf numFmtId="41" fontId="20" fillId="0" borderId="56" xfId="2" applyNumberFormat="1" applyFont="1" applyFill="1" applyBorder="1" applyAlignment="1">
      <alignment horizontal="center" vertical="center"/>
    </xf>
    <xf numFmtId="41" fontId="20" fillId="0" borderId="56" xfId="2" applyNumberFormat="1" applyFont="1" applyBorder="1" applyAlignment="1">
      <alignment horizontal="center" vertical="center"/>
    </xf>
    <xf numFmtId="41" fontId="20" fillId="2" borderId="56" xfId="4" applyNumberFormat="1" applyFont="1" applyFill="1" applyBorder="1" applyAlignment="1">
      <alignment horizontal="center" vertical="center"/>
    </xf>
    <xf numFmtId="178" fontId="20" fillId="0" borderId="56" xfId="2" applyNumberFormat="1" applyFont="1" applyBorder="1" applyAlignment="1">
      <alignment horizontal="right" vertical="center"/>
    </xf>
    <xf numFmtId="179" fontId="20" fillId="0" borderId="56" xfId="2" applyNumberFormat="1" applyFont="1" applyBorder="1" applyAlignment="1">
      <alignment vertical="center"/>
    </xf>
    <xf numFmtId="9" fontId="11" fillId="0" borderId="4" xfId="1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left" vertical="center" wrapText="1"/>
    </xf>
    <xf numFmtId="0" fontId="19" fillId="0" borderId="57" xfId="0" applyNumberFormat="1" applyFont="1" applyBorder="1" applyAlignment="1">
      <alignment horizontal="left" vertical="center"/>
    </xf>
    <xf numFmtId="41" fontId="19" fillId="0" borderId="37" xfId="2" applyNumberFormat="1" applyFont="1" applyBorder="1">
      <alignment vertical="center"/>
    </xf>
    <xf numFmtId="0" fontId="10" fillId="0" borderId="2" xfId="0" applyNumberFormat="1" applyFont="1" applyBorder="1">
      <alignment vertical="center"/>
    </xf>
    <xf numFmtId="0" fontId="10" fillId="0" borderId="4" xfId="0" applyNumberFormat="1" applyFont="1" applyBorder="1">
      <alignment vertical="center"/>
    </xf>
    <xf numFmtId="41" fontId="13" fillId="0" borderId="0" xfId="2" applyNumberFormat="1" applyFont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41" fontId="13" fillId="0" borderId="25" xfId="2" applyNumberFormat="1" applyFont="1" applyBorder="1" applyAlignment="1">
      <alignment vertical="center"/>
    </xf>
    <xf numFmtId="41" fontId="20" fillId="0" borderId="23" xfId="2" applyNumberFormat="1" applyFont="1" applyFill="1" applyBorder="1" applyAlignment="1">
      <alignment horizontal="center" vertical="center"/>
    </xf>
    <xf numFmtId="41" fontId="20" fillId="0" borderId="23" xfId="2" applyNumberFormat="1" applyFont="1" applyBorder="1" applyAlignment="1">
      <alignment horizontal="center" vertical="center"/>
    </xf>
    <xf numFmtId="41" fontId="20" fillId="2" borderId="23" xfId="4" applyNumberFormat="1" applyFont="1" applyFill="1" applyBorder="1" applyAlignment="1">
      <alignment horizontal="center" vertical="center"/>
    </xf>
    <xf numFmtId="178" fontId="20" fillId="0" borderId="23" xfId="2" applyNumberFormat="1" applyFont="1" applyBorder="1" applyAlignment="1">
      <alignment horizontal="right" vertical="center"/>
    </xf>
    <xf numFmtId="179" fontId="20" fillId="0" borderId="23" xfId="2" applyNumberFormat="1" applyFont="1" applyBorder="1" applyAlignment="1">
      <alignment vertical="center"/>
    </xf>
    <xf numFmtId="41" fontId="19" fillId="0" borderId="0" xfId="2" applyNumberFormat="1" applyFont="1" applyBorder="1">
      <alignment vertical="center"/>
    </xf>
    <xf numFmtId="0" fontId="10" fillId="0" borderId="37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left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0" fillId="0" borderId="57" xfId="0" applyNumberFormat="1" applyFont="1" applyBorder="1" applyAlignment="1">
      <alignment horizontal="left" vertical="center" shrinkToFit="1"/>
    </xf>
    <xf numFmtId="41" fontId="20" fillId="0" borderId="27" xfId="2" applyNumberFormat="1" applyFont="1" applyBorder="1" applyAlignment="1">
      <alignment horizontal="center" vertical="center"/>
    </xf>
    <xf numFmtId="41" fontId="20" fillId="0" borderId="58" xfId="2" applyNumberFormat="1" applyFont="1" applyBorder="1" applyAlignment="1">
      <alignment horizontal="center" vertical="center"/>
    </xf>
    <xf numFmtId="41" fontId="20" fillId="2" borderId="58" xfId="4" applyNumberFormat="1" applyFont="1" applyFill="1" applyBorder="1" applyAlignment="1">
      <alignment horizontal="center" vertical="center"/>
    </xf>
    <xf numFmtId="178" fontId="20" fillId="0" borderId="58" xfId="2" applyNumberFormat="1" applyFont="1" applyBorder="1" applyAlignment="1">
      <alignment horizontal="right" vertical="center"/>
    </xf>
    <xf numFmtId="179" fontId="20" fillId="0" borderId="58" xfId="2" applyNumberFormat="1" applyFont="1" applyBorder="1" applyAlignment="1">
      <alignment vertical="center"/>
    </xf>
    <xf numFmtId="0" fontId="10" fillId="0" borderId="59" xfId="0" applyNumberFormat="1" applyFont="1" applyBorder="1" applyAlignment="1">
      <alignment horizontal="left" vertical="center"/>
    </xf>
    <xf numFmtId="41" fontId="10" fillId="0" borderId="60" xfId="2" applyNumberFormat="1" applyFont="1" applyBorder="1">
      <alignment vertical="center"/>
    </xf>
    <xf numFmtId="0" fontId="10" fillId="0" borderId="60" xfId="0" applyNumberFormat="1" applyFont="1" applyBorder="1">
      <alignment vertical="center"/>
    </xf>
    <xf numFmtId="0" fontId="10" fillId="0" borderId="60" xfId="0" applyNumberFormat="1" applyFont="1" applyBorder="1" applyAlignment="1">
      <alignment horizontal="center" vertical="center"/>
    </xf>
    <xf numFmtId="0" fontId="10" fillId="0" borderId="61" xfId="0" applyNumberFormat="1" applyFont="1" applyBorder="1">
      <alignment vertical="center"/>
    </xf>
    <xf numFmtId="0" fontId="19" fillId="0" borderId="10" xfId="0" applyNumberFormat="1" applyFont="1" applyBorder="1" applyAlignment="1">
      <alignment vertical="center" shrinkToFit="1"/>
    </xf>
    <xf numFmtId="41" fontId="21" fillId="2" borderId="62" xfId="4" applyNumberFormat="1" applyFont="1" applyFill="1" applyBorder="1" applyAlignment="1">
      <alignment horizontal="center" vertical="center"/>
    </xf>
    <xf numFmtId="0" fontId="10" fillId="0" borderId="41" xfId="0" applyNumberFormat="1" applyFont="1" applyBorder="1" applyAlignment="1">
      <alignment horizontal="left" vertical="center"/>
    </xf>
    <xf numFmtId="0" fontId="19" fillId="0" borderId="4" xfId="0" applyNumberFormat="1" applyFont="1" applyBorder="1" applyAlignment="1">
      <alignment vertical="center" shrinkToFit="1"/>
    </xf>
    <xf numFmtId="41" fontId="10" fillId="0" borderId="25" xfId="2" applyNumberFormat="1" applyFont="1" applyFill="1" applyBorder="1">
      <alignment vertical="center"/>
    </xf>
    <xf numFmtId="0" fontId="10" fillId="0" borderId="29" xfId="0" applyNumberFormat="1" applyFont="1" applyBorder="1" applyAlignment="1">
      <alignment horizontal="left" vertical="center" shrinkToFit="1"/>
    </xf>
    <xf numFmtId="41" fontId="20" fillId="0" borderId="2" xfId="2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 shrinkToFit="1"/>
    </xf>
    <xf numFmtId="41" fontId="11" fillId="0" borderId="25" xfId="2" applyNumberFormat="1" applyFont="1" applyFill="1" applyBorder="1">
      <alignment vertical="center"/>
    </xf>
    <xf numFmtId="41" fontId="11" fillId="0" borderId="48" xfId="2" applyNumberFormat="1" applyFont="1" applyFill="1" applyBorder="1" applyAlignment="1">
      <alignment vertical="center"/>
    </xf>
    <xf numFmtId="41" fontId="11" fillId="2" borderId="48" xfId="4" applyNumberFormat="1" applyFont="1" applyFill="1" applyBorder="1" applyAlignment="1">
      <alignment vertical="center"/>
    </xf>
    <xf numFmtId="0" fontId="10" fillId="0" borderId="63" xfId="0" applyNumberFormat="1" applyFont="1" applyBorder="1" applyAlignment="1">
      <alignment horizontal="left" vertical="center"/>
    </xf>
    <xf numFmtId="0" fontId="10" fillId="0" borderId="29" xfId="0" applyNumberFormat="1" applyFont="1" applyFill="1" applyBorder="1" applyAlignment="1">
      <alignment horizontal="left" vertical="center"/>
    </xf>
    <xf numFmtId="0" fontId="10" fillId="0" borderId="29" xfId="0" applyNumberFormat="1" applyFont="1" applyFill="1" applyBorder="1">
      <alignment vertical="center"/>
    </xf>
    <xf numFmtId="0" fontId="11" fillId="0" borderId="4" xfId="0" applyNumberFormat="1" applyFont="1" applyBorder="1" applyAlignment="1">
      <alignment horizontal="center" vertical="center" shrinkToFit="1"/>
    </xf>
    <xf numFmtId="41" fontId="11" fillId="0" borderId="40" xfId="2" applyNumberFormat="1" applyFont="1" applyBorder="1">
      <alignment vertical="center"/>
    </xf>
    <xf numFmtId="0" fontId="19" fillId="0" borderId="10" xfId="0" applyNumberFormat="1" applyFont="1" applyBorder="1" applyAlignment="1">
      <alignment horizontal="center" vertical="center" shrinkToFit="1"/>
    </xf>
    <xf numFmtId="179" fontId="11" fillId="0" borderId="23" xfId="4" applyNumberFormat="1" applyFont="1" applyBorder="1" applyAlignment="1">
      <alignment vertical="center" shrinkToFit="1"/>
    </xf>
    <xf numFmtId="41" fontId="10" fillId="0" borderId="25" xfId="4" applyNumberFormat="1" applyFont="1" applyBorder="1">
      <alignment vertical="center"/>
    </xf>
    <xf numFmtId="0" fontId="11" fillId="0" borderId="4" xfId="0" applyNumberFormat="1" applyFont="1" applyBorder="1" applyAlignment="1">
      <alignment horizontal="center" vertical="center" wrapText="1"/>
    </xf>
    <xf numFmtId="41" fontId="25" fillId="0" borderId="25" xfId="4" applyNumberFormat="1" applyFont="1" applyBorder="1">
      <alignment vertical="center"/>
    </xf>
    <xf numFmtId="41" fontId="19" fillId="0" borderId="25" xfId="4" applyNumberFormat="1" applyFont="1" applyBorder="1">
      <alignment vertical="center"/>
    </xf>
    <xf numFmtId="0" fontId="11" fillId="0" borderId="56" xfId="0" applyNumberFormat="1" applyFont="1" applyBorder="1">
      <alignment vertical="center"/>
    </xf>
    <xf numFmtId="0" fontId="10" fillId="0" borderId="57" xfId="0" applyNumberFormat="1" applyFont="1" applyBorder="1">
      <alignment vertical="center"/>
    </xf>
    <xf numFmtId="0" fontId="11" fillId="0" borderId="23" xfId="0" applyNumberFormat="1" applyFont="1" applyBorder="1">
      <alignment vertical="center"/>
    </xf>
    <xf numFmtId="41" fontId="13" fillId="0" borderId="25" xfId="2" applyNumberFormat="1" applyFont="1" applyBorder="1">
      <alignment vertical="center"/>
    </xf>
    <xf numFmtId="0" fontId="13" fillId="0" borderId="29" xfId="0" applyNumberFormat="1" applyFont="1" applyBorder="1" applyAlignment="1">
      <alignment horizontal="left" vertical="center"/>
    </xf>
    <xf numFmtId="41" fontId="20" fillId="0" borderId="17" xfId="2" applyNumberFormat="1" applyFont="1" applyBorder="1" applyAlignment="1">
      <alignment horizontal="center" vertical="center"/>
    </xf>
    <xf numFmtId="0" fontId="19" fillId="0" borderId="22" xfId="0" applyNumberFormat="1" applyFont="1" applyBorder="1" applyAlignment="1">
      <alignment horizontal="left" vertical="center"/>
    </xf>
    <xf numFmtId="41" fontId="19" fillId="0" borderId="0" xfId="4" applyNumberFormat="1" applyFont="1" applyBorder="1">
      <alignment vertical="center"/>
    </xf>
    <xf numFmtId="0" fontId="19" fillId="0" borderId="0" xfId="0" applyNumberFormat="1" applyFont="1" applyBorder="1">
      <alignment vertical="center"/>
    </xf>
    <xf numFmtId="0" fontId="26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41" fontId="11" fillId="0" borderId="17" xfId="2" applyNumberFormat="1" applyFont="1" applyBorder="1" applyAlignment="1">
      <alignment horizontal="center" vertical="center"/>
    </xf>
    <xf numFmtId="0" fontId="10" fillId="0" borderId="22" xfId="0" applyNumberFormat="1" applyFont="1" applyBorder="1" applyAlignment="1">
      <alignment horizontal="left" vertical="center" wrapText="1"/>
    </xf>
    <xf numFmtId="0" fontId="10" fillId="0" borderId="30" xfId="0" applyNumberFormat="1" applyFont="1" applyBorder="1" applyAlignment="1">
      <alignment horizontal="left" vertical="center" wrapText="1"/>
    </xf>
    <xf numFmtId="0" fontId="20" fillId="0" borderId="17" xfId="0" applyNumberFormat="1" applyFont="1" applyBorder="1">
      <alignment vertical="center"/>
    </xf>
    <xf numFmtId="0" fontId="10" fillId="0" borderId="0" xfId="0" applyNumberFormat="1" applyFont="1" applyBorder="1" applyAlignment="1">
      <alignment horizontal="left" vertical="top" wrapText="1"/>
    </xf>
    <xf numFmtId="41" fontId="19" fillId="0" borderId="41" xfId="2" applyNumberFormat="1" applyFont="1" applyBorder="1">
      <alignment vertical="center"/>
    </xf>
    <xf numFmtId="0" fontId="20" fillId="0" borderId="10" xfId="0" applyNumberFormat="1" applyFont="1" applyFill="1" applyBorder="1" applyAlignment="1">
      <alignment horizontal="center" vertical="center" shrinkToFit="1"/>
    </xf>
    <xf numFmtId="41" fontId="11" fillId="2" borderId="63" xfId="4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41" fontId="10" fillId="0" borderId="25" xfId="4" applyNumberFormat="1" applyFont="1" applyFill="1" applyBorder="1">
      <alignment vertical="center"/>
    </xf>
    <xf numFmtId="0" fontId="11" fillId="0" borderId="2" xfId="0" applyNumberFormat="1" applyFont="1" applyBorder="1">
      <alignment vertical="center"/>
    </xf>
    <xf numFmtId="0" fontId="11" fillId="0" borderId="4" xfId="0" applyNumberFormat="1" applyFont="1" applyBorder="1">
      <alignment vertical="center"/>
    </xf>
    <xf numFmtId="0" fontId="11" fillId="0" borderId="4" xfId="0" applyNumberFormat="1" applyFont="1" applyBorder="1" applyAlignment="1">
      <alignment vertical="center"/>
    </xf>
    <xf numFmtId="0" fontId="10" fillId="0" borderId="57" xfId="0" applyNumberFormat="1" applyFont="1" applyFill="1" applyBorder="1" applyAlignment="1">
      <alignment horizontal="left" vertical="center"/>
    </xf>
    <xf numFmtId="0" fontId="10" fillId="0" borderId="17" xfId="0" applyNumberFormat="1" applyFont="1" applyFill="1" applyBorder="1" applyAlignment="1">
      <alignment horizontal="left" vertical="center" shrinkToFit="1"/>
    </xf>
    <xf numFmtId="0" fontId="20" fillId="0" borderId="22" xfId="0" applyNumberFormat="1" applyFont="1" applyBorder="1" applyAlignment="1">
      <alignment horizontal="center" vertical="center" shrinkToFit="1"/>
    </xf>
    <xf numFmtId="179" fontId="20" fillId="0" borderId="62" xfId="2" applyNumberFormat="1" applyFont="1" applyBorder="1" applyAlignment="1">
      <alignment vertical="center"/>
    </xf>
    <xf numFmtId="41" fontId="20" fillId="0" borderId="11" xfId="2" applyNumberFormat="1" applyFont="1" applyBorder="1" applyAlignment="1">
      <alignment horizontal="center" vertical="center"/>
    </xf>
    <xf numFmtId="41" fontId="20" fillId="0" borderId="62" xfId="2" applyNumberFormat="1" applyFont="1" applyFill="1" applyBorder="1" applyAlignment="1">
      <alignment horizontal="center" vertical="center"/>
    </xf>
    <xf numFmtId="41" fontId="20" fillId="2" borderId="62" xfId="4" applyNumberFormat="1" applyFont="1" applyFill="1" applyBorder="1" applyAlignment="1">
      <alignment horizontal="center" vertical="center"/>
    </xf>
    <xf numFmtId="178" fontId="20" fillId="0" borderId="62" xfId="2" applyNumberFormat="1" applyFont="1" applyBorder="1" applyAlignment="1">
      <alignment horizontal="right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62" xfId="2" applyNumberFormat="1" applyFont="1" applyBorder="1">
      <alignment vertical="center"/>
    </xf>
    <xf numFmtId="41" fontId="11" fillId="2" borderId="62" xfId="2" applyNumberFormat="1" applyFont="1" applyFill="1" applyBorder="1" applyAlignment="1">
      <alignment horizontal="center" vertical="center"/>
    </xf>
    <xf numFmtId="0" fontId="10" fillId="0" borderId="17" xfId="6" applyNumberFormat="1" applyFont="1" applyBorder="1" applyAlignment="1">
      <alignment horizontal="left" vertical="center"/>
    </xf>
    <xf numFmtId="0" fontId="10" fillId="0" borderId="37" xfId="6" applyNumberFormat="1" applyFont="1" applyBorder="1">
      <alignment vertical="center"/>
    </xf>
    <xf numFmtId="0" fontId="12" fillId="0" borderId="37" xfId="6" applyNumberFormat="1" applyFont="1" applyBorder="1" applyAlignment="1">
      <alignment horizontal="center" vertical="center"/>
    </xf>
    <xf numFmtId="0" fontId="10" fillId="0" borderId="37" xfId="6" applyNumberFormat="1" applyFont="1" applyBorder="1" applyAlignment="1">
      <alignment horizontal="center" vertical="center"/>
    </xf>
    <xf numFmtId="0" fontId="10" fillId="0" borderId="37" xfId="6" quotePrefix="1" applyNumberFormat="1" applyFont="1" applyBorder="1" applyAlignment="1">
      <alignment horizontal="center" vertical="center"/>
    </xf>
    <xf numFmtId="0" fontId="10" fillId="0" borderId="38" xfId="6" applyNumberFormat="1" applyFont="1" applyBorder="1">
      <alignment vertical="center"/>
    </xf>
    <xf numFmtId="0" fontId="10" fillId="0" borderId="7" xfId="0" applyNumberFormat="1" applyFont="1" applyFill="1" applyBorder="1" applyAlignment="1">
      <alignment horizontal="center" vertical="center" shrinkToFit="1"/>
    </xf>
    <xf numFmtId="0" fontId="10" fillId="0" borderId="0" xfId="6" applyNumberFormat="1" applyFont="1" applyBorder="1">
      <alignment vertical="center"/>
    </xf>
    <xf numFmtId="0" fontId="12" fillId="0" borderId="0" xfId="6" applyNumberFormat="1" applyFont="1" applyBorder="1" applyAlignment="1">
      <alignment horizontal="center" vertical="center"/>
    </xf>
    <xf numFmtId="0" fontId="10" fillId="0" borderId="0" xfId="6" applyNumberFormat="1" applyFont="1" applyBorder="1" applyAlignment="1">
      <alignment horizontal="center" vertical="center"/>
    </xf>
    <xf numFmtId="0" fontId="10" fillId="0" borderId="0" xfId="6" quotePrefix="1" applyNumberFormat="1" applyFont="1" applyBorder="1" applyAlignment="1">
      <alignment horizontal="center" vertical="center"/>
    </xf>
    <xf numFmtId="0" fontId="10" fillId="0" borderId="28" xfId="6" applyNumberFormat="1" applyFont="1" applyBorder="1">
      <alignment vertical="center"/>
    </xf>
    <xf numFmtId="0" fontId="10" fillId="0" borderId="15" xfId="0" applyNumberFormat="1" applyFont="1" applyFill="1" applyBorder="1" applyAlignment="1">
      <alignment horizontal="center" vertical="center"/>
    </xf>
    <xf numFmtId="41" fontId="11" fillId="0" borderId="48" xfId="2" applyNumberFormat="1" applyFont="1" applyBorder="1">
      <alignment vertical="center"/>
    </xf>
    <xf numFmtId="41" fontId="11" fillId="2" borderId="48" xfId="2" applyNumberFormat="1" applyFont="1" applyFill="1" applyBorder="1" applyAlignment="1">
      <alignment horizontal="center" vertical="center"/>
    </xf>
    <xf numFmtId="41" fontId="11" fillId="0" borderId="0" xfId="2" applyNumberFormat="1" applyFont="1" applyFill="1">
      <alignment vertical="center"/>
    </xf>
    <xf numFmtId="0" fontId="10" fillId="0" borderId="20" xfId="6" applyNumberFormat="1" applyFont="1" applyBorder="1">
      <alignment vertical="center"/>
    </xf>
    <xf numFmtId="0" fontId="10" fillId="0" borderId="15" xfId="0" applyNumberFormat="1" applyFont="1" applyFill="1" applyBorder="1" applyAlignment="1">
      <alignment horizontal="center" vertical="center" shrinkToFit="1"/>
    </xf>
    <xf numFmtId="0" fontId="10" fillId="0" borderId="17" xfId="6" applyNumberFormat="1" applyFont="1" applyBorder="1" applyAlignment="1">
      <alignment horizontal="left" vertical="center" shrinkToFit="1"/>
    </xf>
    <xf numFmtId="0" fontId="10" fillId="0" borderId="19" xfId="0" applyNumberFormat="1" applyFont="1" applyFill="1" applyBorder="1" applyAlignment="1">
      <alignment horizontal="center" vertical="center"/>
    </xf>
    <xf numFmtId="41" fontId="11" fillId="2" borderId="56" xfId="2" applyNumberFormat="1" applyFont="1" applyFill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/>
    </xf>
    <xf numFmtId="41" fontId="11" fillId="2" borderId="23" xfId="2" applyNumberFormat="1" applyFont="1" applyFill="1" applyBorder="1" applyAlignment="1">
      <alignment horizontal="center" vertical="center"/>
    </xf>
    <xf numFmtId="0" fontId="10" fillId="0" borderId="19" xfId="0" applyNumberFormat="1" applyFont="1" applyFill="1" applyBorder="1" applyAlignment="1">
      <alignment horizontal="center" vertical="center" shrinkToFit="1"/>
    </xf>
    <xf numFmtId="41" fontId="11" fillId="0" borderId="0" xfId="2" applyNumberFormat="1" applyFont="1" applyFill="1" applyAlignment="1">
      <alignment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center" vertical="center" shrinkToFit="1"/>
    </xf>
    <xf numFmtId="0" fontId="10" fillId="0" borderId="30" xfId="6" applyNumberFormat="1" applyFont="1" applyBorder="1" applyAlignment="1">
      <alignment horizontal="left" vertical="center"/>
    </xf>
    <xf numFmtId="0" fontId="10" fillId="0" borderId="29" xfId="6" applyNumberFormat="1" applyFont="1" applyBorder="1">
      <alignment vertical="center"/>
    </xf>
    <xf numFmtId="0" fontId="12" fillId="0" borderId="29" xfId="6" applyNumberFormat="1" applyFont="1" applyBorder="1" applyAlignment="1">
      <alignment horizontal="center" vertical="center"/>
    </xf>
    <xf numFmtId="0" fontId="10" fillId="0" borderId="29" xfId="6" applyNumberFormat="1" applyFont="1" applyBorder="1" applyAlignment="1">
      <alignment horizontal="center" vertical="center"/>
    </xf>
    <xf numFmtId="0" fontId="10" fillId="0" borderId="29" xfId="6" quotePrefix="1" applyNumberFormat="1" applyFont="1" applyBorder="1" applyAlignment="1">
      <alignment horizontal="center" vertical="center"/>
    </xf>
    <xf numFmtId="0" fontId="13" fillId="0" borderId="26" xfId="0" applyNumberFormat="1" applyFont="1" applyFill="1" applyBorder="1" applyAlignment="1">
      <alignment horizontal="center" vertical="center" shrinkToFit="1"/>
    </xf>
    <xf numFmtId="0" fontId="10" fillId="0" borderId="26" xfId="0" applyNumberFormat="1" applyFont="1" applyFill="1" applyBorder="1" applyAlignment="1">
      <alignment horizontal="center" vertical="center" shrinkToFit="1"/>
    </xf>
    <xf numFmtId="41" fontId="10" fillId="2" borderId="25" xfId="2" applyNumberFormat="1" applyFont="1" applyFill="1" applyBorder="1">
      <alignment vertical="center"/>
    </xf>
    <xf numFmtId="41" fontId="20" fillId="0" borderId="62" xfId="2" applyNumberFormat="1" applyFont="1" applyFill="1" applyBorder="1" applyAlignment="1">
      <alignment vertical="center" wrapText="1"/>
    </xf>
    <xf numFmtId="178" fontId="20" fillId="0" borderId="56" xfId="2" applyNumberFormat="1" applyFont="1" applyFill="1" applyBorder="1" applyAlignment="1">
      <alignment vertical="center" wrapText="1"/>
    </xf>
    <xf numFmtId="41" fontId="20" fillId="0" borderId="56" xfId="2" applyNumberFormat="1" applyFont="1" applyFill="1" applyBorder="1" applyAlignment="1">
      <alignment vertical="center" wrapText="1"/>
    </xf>
    <xf numFmtId="178" fontId="20" fillId="0" borderId="56" xfId="2" applyNumberFormat="1" applyFont="1" applyBorder="1" applyAlignment="1">
      <alignment horizontal="right" vertical="center" wrapText="1"/>
    </xf>
    <xf numFmtId="179" fontId="20" fillId="0" borderId="56" xfId="2" applyNumberFormat="1" applyFont="1" applyBorder="1" applyAlignment="1">
      <alignment vertical="center" wrapText="1"/>
    </xf>
    <xf numFmtId="41" fontId="11" fillId="0" borderId="56" xfId="2" applyNumberFormat="1" applyFont="1" applyFill="1" applyBorder="1" applyAlignment="1">
      <alignment vertical="center"/>
    </xf>
    <xf numFmtId="0" fontId="10" fillId="0" borderId="17" xfId="0" applyNumberFormat="1" applyFont="1" applyBorder="1" applyAlignment="1">
      <alignment vertical="center" wrapText="1"/>
    </xf>
    <xf numFmtId="41" fontId="11" fillId="0" borderId="23" xfId="2" applyNumberFormat="1" applyFont="1" applyFill="1" applyBorder="1" applyAlignment="1">
      <alignment vertical="center"/>
    </xf>
    <xf numFmtId="0" fontId="10" fillId="0" borderId="22" xfId="0" applyNumberFormat="1" applyFont="1" applyBorder="1" applyAlignment="1">
      <alignment vertical="center" wrapText="1"/>
    </xf>
    <xf numFmtId="0" fontId="10" fillId="0" borderId="42" xfId="0" applyNumberFormat="1" applyFont="1" applyBorder="1" applyAlignment="1">
      <alignment vertical="center" wrapText="1"/>
    </xf>
    <xf numFmtId="41" fontId="10" fillId="0" borderId="29" xfId="2" applyNumberFormat="1" applyFont="1" applyBorder="1" applyAlignment="1">
      <alignment vertical="center" shrinkToFit="1"/>
    </xf>
    <xf numFmtId="41" fontId="11" fillId="0" borderId="38" xfId="2" applyNumberFormat="1" applyFont="1" applyFill="1" applyBorder="1" applyAlignment="1">
      <alignment vertical="center"/>
    </xf>
    <xf numFmtId="41" fontId="10" fillId="0" borderId="38" xfId="2" applyNumberFormat="1" applyFont="1" applyBorder="1">
      <alignment vertical="center"/>
    </xf>
    <xf numFmtId="41" fontId="11" fillId="0" borderId="28" xfId="2" applyNumberFormat="1" applyFont="1" applyFill="1" applyBorder="1" applyAlignment="1">
      <alignment vertical="center"/>
    </xf>
    <xf numFmtId="41" fontId="10" fillId="0" borderId="28" xfId="2" applyNumberFormat="1" applyFont="1" applyBorder="1">
      <alignment vertical="center"/>
    </xf>
    <xf numFmtId="41" fontId="11" fillId="0" borderId="12" xfId="2" applyNumberFormat="1" applyFont="1" applyBorder="1" applyAlignment="1">
      <alignment horizontal="center" vertical="center"/>
    </xf>
    <xf numFmtId="41" fontId="11" fillId="0" borderId="43" xfId="2" applyNumberFormat="1" applyFont="1" applyFill="1" applyBorder="1" applyAlignment="1">
      <alignment vertical="center"/>
    </xf>
    <xf numFmtId="0" fontId="10" fillId="0" borderId="64" xfId="0" applyNumberFormat="1" applyFont="1" applyBorder="1" applyAlignment="1">
      <alignment horizontal="left" vertical="center" shrinkToFit="1"/>
    </xf>
    <xf numFmtId="41" fontId="10" fillId="0" borderId="6" xfId="4" applyNumberFormat="1" applyFont="1" applyBorder="1">
      <alignment vertical="center"/>
    </xf>
    <xf numFmtId="0" fontId="10" fillId="0" borderId="6" xfId="0" applyNumberFormat="1" applyFont="1" applyBorder="1">
      <alignment vertical="center"/>
    </xf>
    <xf numFmtId="41" fontId="10" fillId="0" borderId="6" xfId="0" applyNumberFormat="1" applyFont="1" applyBorder="1">
      <alignment vertical="center"/>
    </xf>
    <xf numFmtId="41" fontId="11" fillId="0" borderId="0" xfId="2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top" wrapText="1"/>
    </xf>
    <xf numFmtId="0" fontId="10" fillId="0" borderId="0" xfId="0" applyNumberFormat="1" applyFont="1" applyBorder="1" applyAlignment="1">
      <alignment horizontal="center" vertical="center" wrapText="1"/>
    </xf>
    <xf numFmtId="178" fontId="11" fillId="0" borderId="0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 applyAlignment="1">
      <alignment horizontal="center" vertical="center"/>
    </xf>
    <xf numFmtId="41" fontId="11" fillId="0" borderId="0" xfId="2" applyNumberFormat="1" applyFont="1" applyFill="1" applyBorder="1" applyAlignment="1">
      <alignment vertical="center"/>
    </xf>
    <xf numFmtId="178" fontId="11" fillId="0" borderId="0" xfId="2" applyNumberFormat="1" applyFont="1" applyBorder="1" applyAlignment="1">
      <alignment horizontal="right" vertical="center"/>
    </xf>
    <xf numFmtId="179" fontId="11" fillId="0" borderId="0" xfId="2" applyNumberFormat="1" applyFont="1" applyBorder="1" applyAlignment="1">
      <alignment horizontal="right" vertical="center"/>
    </xf>
    <xf numFmtId="0" fontId="11" fillId="0" borderId="0" xfId="0" applyNumberFormat="1" applyFont="1" applyBorder="1" applyAlignment="1">
      <alignment horizontal="center" vertical="center"/>
    </xf>
    <xf numFmtId="179" fontId="11" fillId="0" borderId="0" xfId="2" applyNumberFormat="1" applyFont="1" applyBorder="1" applyAlignment="1">
      <alignment vertical="center"/>
    </xf>
    <xf numFmtId="41" fontId="11" fillId="0" borderId="0" xfId="0" applyNumberFormat="1" applyFont="1" applyBorder="1" applyAlignment="1">
      <alignment horizontal="left" vertical="center"/>
    </xf>
    <xf numFmtId="43" fontId="10" fillId="0" borderId="0" xfId="0" applyNumberFormat="1" applyFont="1" applyBorder="1" applyAlignment="1">
      <alignment horizontal="left" vertical="center"/>
    </xf>
    <xf numFmtId="41" fontId="13" fillId="0" borderId="0" xfId="0" applyNumberFormat="1" applyFont="1" applyAlignment="1">
      <alignment horizontal="left" vertical="center"/>
    </xf>
    <xf numFmtId="0" fontId="4" fillId="0" borderId="30" xfId="0" applyNumberFormat="1" applyFont="1" applyFill="1" applyBorder="1" applyAlignment="1">
      <alignment horizontal="left" vertical="center" shrinkToFit="1"/>
    </xf>
    <xf numFmtId="0" fontId="21" fillId="0" borderId="8" xfId="0" applyNumberFormat="1" applyFont="1" applyBorder="1" applyAlignment="1">
      <alignment horizontal="center" vertical="center" wrapText="1"/>
    </xf>
    <xf numFmtId="41" fontId="11" fillId="0" borderId="62" xfId="2" applyNumberFormat="1" applyFont="1" applyFill="1" applyBorder="1" applyAlignment="1">
      <alignment vertical="center"/>
    </xf>
    <xf numFmtId="41" fontId="11" fillId="0" borderId="62" xfId="2" applyNumberFormat="1" applyFont="1" applyBorder="1" applyAlignment="1">
      <alignment vertical="center"/>
    </xf>
    <xf numFmtId="41" fontId="11" fillId="2" borderId="62" xfId="4" applyNumberFormat="1" applyFont="1" applyFill="1" applyBorder="1" applyAlignment="1">
      <alignment vertical="center"/>
    </xf>
    <xf numFmtId="0" fontId="12" fillId="0" borderId="41" xfId="0" applyNumberFormat="1" applyFont="1" applyFill="1" applyBorder="1" applyAlignment="1">
      <alignment horizontal="center" vertical="center"/>
    </xf>
    <xf numFmtId="0" fontId="10" fillId="0" borderId="41" xfId="0" quotePrefix="1" applyNumberFormat="1" applyFont="1" applyFill="1" applyBorder="1" applyAlignment="1">
      <alignment horizontal="center" vertical="center"/>
    </xf>
    <xf numFmtId="41" fontId="10" fillId="0" borderId="41" xfId="4" applyNumberFormat="1" applyFont="1" applyFill="1" applyBorder="1">
      <alignment vertical="center"/>
    </xf>
    <xf numFmtId="0" fontId="10" fillId="0" borderId="25" xfId="0" applyNumberFormat="1" applyFont="1" applyFill="1" applyBorder="1">
      <alignment vertical="center"/>
    </xf>
    <xf numFmtId="0" fontId="10" fillId="0" borderId="37" xfId="0" applyNumberFormat="1" applyFont="1" applyBorder="1" applyAlignment="1">
      <alignment horizontal="center" vertical="center"/>
    </xf>
    <xf numFmtId="0" fontId="10" fillId="0" borderId="17" xfId="0" applyNumberFormat="1" applyFont="1" applyFill="1" applyBorder="1" applyAlignment="1">
      <alignment horizontal="left" vertical="center"/>
    </xf>
    <xf numFmtId="0" fontId="11" fillId="0" borderId="22" xfId="0" applyNumberFormat="1" applyFont="1" applyBorder="1" applyAlignment="1">
      <alignment horizontal="center" vertical="center"/>
    </xf>
    <xf numFmtId="0" fontId="11" fillId="0" borderId="42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0" fontId="10" fillId="0" borderId="41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41" fontId="11" fillId="0" borderId="56" xfId="2" applyNumberFormat="1" applyFont="1" applyFill="1" applyBorder="1" applyAlignment="1">
      <alignment horizontal="center" vertical="center"/>
    </xf>
    <xf numFmtId="41" fontId="11" fillId="0" borderId="23" xfId="2" applyNumberFormat="1" applyFont="1" applyFill="1" applyBorder="1" applyAlignment="1">
      <alignment horizontal="center" vertical="center"/>
    </xf>
    <xf numFmtId="41" fontId="11" fillId="0" borderId="56" xfId="2" applyNumberFormat="1" applyFont="1" applyBorder="1" applyAlignment="1">
      <alignment horizontal="center" vertical="center"/>
    </xf>
    <xf numFmtId="41" fontId="11" fillId="2" borderId="56" xfId="4" applyNumberFormat="1" applyFont="1" applyFill="1" applyBorder="1" applyAlignment="1">
      <alignment horizontal="center" vertical="center"/>
    </xf>
    <xf numFmtId="41" fontId="11" fillId="2" borderId="48" xfId="4" applyNumberFormat="1" applyFont="1" applyFill="1" applyBorder="1" applyAlignment="1">
      <alignment horizontal="center" vertical="center"/>
    </xf>
    <xf numFmtId="41" fontId="11" fillId="2" borderId="23" xfId="4" applyNumberFormat="1" applyFont="1" applyFill="1" applyBorder="1" applyAlignment="1">
      <alignment horizontal="center" vertical="center"/>
    </xf>
    <xf numFmtId="179" fontId="11" fillId="0" borderId="56" xfId="4" applyNumberFormat="1" applyFont="1" applyBorder="1" applyAlignment="1">
      <alignment vertical="center"/>
    </xf>
    <xf numFmtId="178" fontId="11" fillId="0" borderId="56" xfId="4" applyNumberFormat="1" applyFont="1" applyBorder="1" applyAlignment="1">
      <alignment horizontal="right" vertical="center"/>
    </xf>
    <xf numFmtId="178" fontId="11" fillId="0" borderId="23" xfId="4" applyNumberFormat="1" applyFont="1" applyBorder="1" applyAlignment="1">
      <alignment horizontal="right" vertical="center"/>
    </xf>
    <xf numFmtId="41" fontId="11" fillId="0" borderId="56" xfId="4" applyNumberFormat="1" applyFont="1" applyFill="1" applyBorder="1" applyAlignment="1">
      <alignment horizontal="center" vertical="center"/>
    </xf>
    <xf numFmtId="41" fontId="11" fillId="0" borderId="23" xfId="4" applyNumberFormat="1" applyFont="1" applyFill="1" applyBorder="1" applyAlignment="1">
      <alignment horizontal="center" vertical="center"/>
    </xf>
    <xf numFmtId="178" fontId="11" fillId="0" borderId="56" xfId="2" applyNumberFormat="1" applyFont="1" applyBorder="1" applyAlignment="1">
      <alignment horizontal="right" vertical="center"/>
    </xf>
    <xf numFmtId="179" fontId="11" fillId="0" borderId="56" xfId="2" applyNumberFormat="1" applyFont="1" applyBorder="1" applyAlignment="1">
      <alignment vertical="center"/>
    </xf>
    <xf numFmtId="179" fontId="11" fillId="0" borderId="48" xfId="2" applyNumberFormat="1" applyFont="1" applyBorder="1" applyAlignment="1">
      <alignment vertical="center"/>
    </xf>
    <xf numFmtId="178" fontId="11" fillId="0" borderId="48" xfId="2" applyNumberFormat="1" applyFont="1" applyBorder="1" applyAlignment="1">
      <alignment horizontal="right" vertical="center"/>
    </xf>
    <xf numFmtId="41" fontId="11" fillId="0" borderId="48" xfId="2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41" fontId="11" fillId="0" borderId="62" xfId="2" applyNumberFormat="1" applyFont="1" applyFill="1" applyBorder="1" applyAlignment="1">
      <alignment horizontal="center" vertical="center"/>
    </xf>
    <xf numFmtId="41" fontId="11" fillId="2" borderId="62" xfId="4" applyNumberFormat="1" applyFont="1" applyFill="1" applyBorder="1" applyAlignment="1">
      <alignment horizontal="center" vertical="center"/>
    </xf>
    <xf numFmtId="41" fontId="11" fillId="0" borderId="62" xfId="2" applyNumberFormat="1" applyFont="1" applyBorder="1" applyAlignment="1">
      <alignment horizontal="center" vertical="center"/>
    </xf>
    <xf numFmtId="179" fontId="11" fillId="0" borderId="62" xfId="2" applyNumberFormat="1" applyFont="1" applyBorder="1" applyAlignment="1">
      <alignment vertical="center"/>
    </xf>
    <xf numFmtId="178" fontId="11" fillId="0" borderId="62" xfId="2" applyNumberFormat="1" applyFont="1" applyBorder="1" applyAlignment="1">
      <alignment horizontal="right"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/>
    </xf>
    <xf numFmtId="178" fontId="11" fillId="0" borderId="56" xfId="2" applyNumberFormat="1" applyFont="1" applyFill="1" applyBorder="1" applyAlignment="1">
      <alignment horizontal="right" vertical="center"/>
    </xf>
    <xf numFmtId="0" fontId="10" fillId="0" borderId="7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10" fillId="0" borderId="57" xfId="0" applyNumberFormat="1" applyFont="1" applyBorder="1" applyAlignment="1">
      <alignment horizontal="left" vertical="center"/>
    </xf>
    <xf numFmtId="0" fontId="10" fillId="0" borderId="37" xfId="0" applyNumberFormat="1" applyFont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 shrinkToFit="1"/>
    </xf>
    <xf numFmtId="0" fontId="27" fillId="0" borderId="37" xfId="0" applyNumberFormat="1" applyFont="1" applyFill="1" applyBorder="1" applyAlignment="1">
      <alignment horizontal="left" vertical="center" shrinkToFit="1"/>
    </xf>
    <xf numFmtId="41" fontId="27" fillId="0" borderId="37" xfId="4" applyNumberFormat="1" applyFont="1" applyFill="1" applyBorder="1">
      <alignment vertical="center"/>
    </xf>
    <xf numFmtId="0" fontId="27" fillId="0" borderId="37" xfId="0" applyNumberFormat="1" applyFont="1" applyFill="1" applyBorder="1">
      <alignment vertical="center"/>
    </xf>
    <xf numFmtId="0" fontId="28" fillId="0" borderId="37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41" fontId="4" fillId="0" borderId="0" xfId="2" applyNumberFormat="1" applyFont="1" applyFill="1" applyBorder="1">
      <alignment vertical="center"/>
    </xf>
    <xf numFmtId="0" fontId="11" fillId="0" borderId="4" xfId="0" applyNumberFormat="1" applyFont="1" applyBorder="1" applyAlignment="1">
      <alignment horizontal="center" vertical="center"/>
    </xf>
    <xf numFmtId="0" fontId="4" fillId="0" borderId="29" xfId="0" applyNumberFormat="1" applyFont="1" applyFill="1" applyBorder="1" applyAlignment="1">
      <alignment horizontal="left" vertical="center" shrinkToFit="1"/>
    </xf>
    <xf numFmtId="41" fontId="4" fillId="0" borderId="29" xfId="2" applyNumberFormat="1" applyFont="1" applyBorder="1" applyAlignment="1">
      <alignment vertical="center" shrinkToFit="1"/>
    </xf>
    <xf numFmtId="41" fontId="19" fillId="0" borderId="2" xfId="2" applyNumberFormat="1" applyFont="1" applyBorder="1" applyAlignment="1">
      <alignment horizontal="center" vertical="center"/>
    </xf>
    <xf numFmtId="0" fontId="19" fillId="0" borderId="3" xfId="0" applyNumberFormat="1" applyFont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vertical="center"/>
    </xf>
    <xf numFmtId="0" fontId="4" fillId="0" borderId="29" xfId="0" applyNumberFormat="1" applyFont="1" applyBorder="1" applyAlignment="1">
      <alignment horizontal="left" vertical="center" wrapText="1"/>
    </xf>
    <xf numFmtId="0" fontId="10" fillId="0" borderId="30" xfId="6" applyNumberFormat="1" applyFont="1" applyBorder="1" applyAlignment="1">
      <alignment horizontal="left" vertical="center" shrinkToFit="1"/>
    </xf>
    <xf numFmtId="179" fontId="11" fillId="0" borderId="62" xfId="2" applyNumberFormat="1" applyFont="1" applyBorder="1" applyAlignment="1">
      <alignment vertical="center"/>
    </xf>
    <xf numFmtId="41" fontId="11" fillId="0" borderId="10" xfId="2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41" fontId="11" fillId="0" borderId="36" xfId="2" applyNumberFormat="1" applyFont="1" applyFill="1" applyBorder="1" applyAlignment="1">
      <alignment horizontal="center" vertical="center"/>
    </xf>
    <xf numFmtId="41" fontId="11" fillId="0" borderId="35" xfId="2" applyNumberFormat="1" applyFont="1" applyFill="1" applyBorder="1" applyAlignment="1">
      <alignment horizontal="center" vertical="center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3" xfId="4" applyNumberFormat="1" applyFont="1" applyFill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41" fontId="11" fillId="0" borderId="4" xfId="4" applyNumberFormat="1" applyFont="1" applyFill="1" applyBorder="1" applyAlignment="1">
      <alignment horizontal="center" vertical="center"/>
    </xf>
    <xf numFmtId="0" fontId="10" fillId="0" borderId="37" xfId="0" applyNumberFormat="1" applyFont="1" applyBorder="1" applyAlignment="1">
      <alignment horizontal="center" vertical="center"/>
    </xf>
    <xf numFmtId="3" fontId="11" fillId="0" borderId="10" xfId="2" applyNumberFormat="1" applyFont="1" applyFill="1" applyBorder="1" applyAlignment="1">
      <alignment horizontal="right" vertical="center"/>
    </xf>
    <xf numFmtId="180" fontId="11" fillId="0" borderId="10" xfId="2" applyNumberFormat="1" applyFont="1" applyBorder="1" applyAlignment="1">
      <alignment horizontal="right" vertical="center"/>
    </xf>
    <xf numFmtId="0" fontId="11" fillId="0" borderId="22" xfId="0" applyNumberFormat="1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0" fontId="11" fillId="0" borderId="42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0" fontId="20" fillId="0" borderId="22" xfId="0" applyNumberFormat="1" applyFont="1" applyBorder="1" applyAlignment="1">
      <alignment horizontal="center" vertical="center"/>
    </xf>
    <xf numFmtId="0" fontId="10" fillId="0" borderId="41" xfId="0" applyNumberFormat="1" applyFont="1" applyBorder="1" applyAlignment="1">
      <alignment horizontal="center" vertical="center"/>
    </xf>
    <xf numFmtId="180" fontId="11" fillId="0" borderId="9" xfId="2" applyNumberFormat="1" applyFont="1" applyBorder="1" applyAlignment="1">
      <alignment horizontal="right" vertical="center"/>
    </xf>
    <xf numFmtId="41" fontId="11" fillId="0" borderId="14" xfId="4" applyNumberFormat="1" applyFont="1" applyFill="1" applyBorder="1" applyAlignment="1">
      <alignment horizontal="center" vertical="center"/>
    </xf>
    <xf numFmtId="3" fontId="11" fillId="0" borderId="3" xfId="2" applyNumberFormat="1" applyFont="1" applyFill="1" applyBorder="1" applyAlignment="1">
      <alignment horizontal="right" vertical="center"/>
    </xf>
    <xf numFmtId="180" fontId="11" fillId="0" borderId="3" xfId="2" applyNumberFormat="1" applyFont="1" applyBorder="1" applyAlignment="1">
      <alignment horizontal="right" vertical="center"/>
    </xf>
    <xf numFmtId="0" fontId="10" fillId="0" borderId="37" xfId="0" applyNumberFormat="1" applyFont="1" applyFill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3" fontId="11" fillId="0" borderId="10" xfId="2" applyNumberFormat="1" applyFont="1" applyFill="1" applyBorder="1" applyAlignment="1">
      <alignment horizontal="center" vertical="center"/>
    </xf>
    <xf numFmtId="3" fontId="11" fillId="0" borderId="4" xfId="2" applyNumberFormat="1" applyFont="1" applyFill="1" applyBorder="1" applyAlignment="1">
      <alignment horizontal="center" vertical="center"/>
    </xf>
    <xf numFmtId="3" fontId="11" fillId="0" borderId="3" xfId="2" applyNumberFormat="1" applyFont="1" applyFill="1" applyBorder="1" applyAlignment="1">
      <alignment horizontal="center" vertical="center"/>
    </xf>
    <xf numFmtId="180" fontId="11" fillId="0" borderId="10" xfId="2" applyNumberFormat="1" applyFont="1" applyBorder="1" applyAlignment="1">
      <alignment horizontal="right" vertical="center"/>
    </xf>
    <xf numFmtId="180" fontId="11" fillId="0" borderId="4" xfId="2" applyNumberFormat="1" applyFont="1" applyBorder="1" applyAlignment="1">
      <alignment horizontal="right" vertical="center"/>
    </xf>
    <xf numFmtId="180" fontId="11" fillId="0" borderId="3" xfId="2" applyNumberFormat="1" applyFont="1" applyBorder="1" applyAlignment="1">
      <alignment horizontal="right" vertical="center"/>
    </xf>
    <xf numFmtId="0" fontId="16" fillId="0" borderId="6" xfId="0" applyNumberFormat="1" applyFont="1" applyBorder="1" applyAlignment="1">
      <alignment horizontal="left" vertical="center"/>
    </xf>
    <xf numFmtId="3" fontId="11" fillId="0" borderId="10" xfId="2" applyNumberFormat="1" applyFont="1" applyFill="1" applyBorder="1" applyAlignment="1">
      <alignment horizontal="right" vertical="center"/>
    </xf>
    <xf numFmtId="3" fontId="11" fillId="0" borderId="4" xfId="2" applyNumberFormat="1" applyFont="1" applyFill="1" applyBorder="1" applyAlignment="1">
      <alignment horizontal="right" vertical="center"/>
    </xf>
    <xf numFmtId="3" fontId="11" fillId="0" borderId="3" xfId="2" applyNumberFormat="1" applyFont="1" applyFill="1" applyBorder="1" applyAlignment="1">
      <alignment horizontal="right" vertical="center"/>
    </xf>
    <xf numFmtId="0" fontId="10" fillId="0" borderId="37" xfId="0" applyNumberFormat="1" applyFont="1" applyBorder="1" applyAlignment="1">
      <alignment horizontal="center" vertical="center"/>
    </xf>
    <xf numFmtId="0" fontId="11" fillId="0" borderId="24" xfId="0" applyNumberFormat="1" applyFont="1" applyBorder="1" applyAlignment="1">
      <alignment horizontal="center" vertical="center" wrapText="1"/>
    </xf>
    <xf numFmtId="0" fontId="11" fillId="0" borderId="22" xfId="0" applyNumberFormat="1" applyFont="1" applyBorder="1" applyAlignment="1">
      <alignment horizontal="center" vertical="center" wrapText="1"/>
    </xf>
    <xf numFmtId="0" fontId="11" fillId="0" borderId="42" xfId="0" applyNumberFormat="1" applyFont="1" applyBorder="1" applyAlignment="1">
      <alignment horizontal="center" vertical="center" wrapText="1"/>
    </xf>
    <xf numFmtId="41" fontId="11" fillId="0" borderId="10" xfId="2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41" fontId="11" fillId="0" borderId="3" xfId="2" applyNumberFormat="1" applyFont="1" applyBorder="1" applyAlignment="1">
      <alignment horizontal="center" vertical="center"/>
    </xf>
    <xf numFmtId="41" fontId="11" fillId="0" borderId="36" xfId="2" applyNumberFormat="1" applyFont="1" applyFill="1" applyBorder="1" applyAlignment="1">
      <alignment horizontal="center" vertical="center"/>
    </xf>
    <xf numFmtId="41" fontId="11" fillId="0" borderId="35" xfId="2" applyNumberFormat="1" applyFont="1" applyFill="1" applyBorder="1" applyAlignment="1">
      <alignment horizontal="center" vertical="center"/>
    </xf>
    <xf numFmtId="41" fontId="11" fillId="0" borderId="39" xfId="2" applyNumberFormat="1" applyFont="1" applyFill="1" applyBorder="1" applyAlignment="1">
      <alignment horizontal="center" vertical="center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4" xfId="4" applyNumberFormat="1" applyFont="1" applyFill="1" applyBorder="1" applyAlignment="1">
      <alignment horizontal="center" vertical="center"/>
    </xf>
    <xf numFmtId="41" fontId="11" fillId="0" borderId="3" xfId="4" applyNumberFormat="1" applyFont="1" applyFill="1" applyBorder="1" applyAlignment="1">
      <alignment horizontal="center" vertical="center"/>
    </xf>
    <xf numFmtId="0" fontId="10" fillId="0" borderId="37" xfId="0" applyNumberFormat="1" applyFont="1" applyFill="1" applyBorder="1" applyAlignment="1">
      <alignment horizontal="center" vertical="center"/>
    </xf>
    <xf numFmtId="3" fontId="11" fillId="0" borderId="14" xfId="2" applyNumberFormat="1" applyFont="1" applyFill="1" applyBorder="1" applyAlignment="1">
      <alignment horizontal="right" vertical="center"/>
    </xf>
    <xf numFmtId="180" fontId="11" fillId="0" borderId="14" xfId="2" applyNumberFormat="1" applyFont="1" applyBorder="1" applyAlignment="1">
      <alignment horizontal="right" vertical="center"/>
    </xf>
    <xf numFmtId="179" fontId="11" fillId="0" borderId="10" xfId="2" applyNumberFormat="1" applyFont="1" applyBorder="1" applyAlignment="1">
      <alignment horizontal="right" vertical="center"/>
    </xf>
    <xf numFmtId="179" fontId="11" fillId="0" borderId="4" xfId="2" applyNumberFormat="1" applyFont="1" applyBorder="1" applyAlignment="1">
      <alignment horizontal="right" vertical="center"/>
    </xf>
    <xf numFmtId="179" fontId="11" fillId="0" borderId="3" xfId="2" applyNumberFormat="1" applyFont="1" applyBorder="1" applyAlignment="1">
      <alignment horizontal="right" vertical="center"/>
    </xf>
    <xf numFmtId="0" fontId="11" fillId="0" borderId="24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vertical="center"/>
    </xf>
    <xf numFmtId="0" fontId="11" fillId="0" borderId="42" xfId="0" applyNumberFormat="1" applyFont="1" applyBorder="1" applyAlignment="1">
      <alignment horizontal="center" vertical="center"/>
    </xf>
    <xf numFmtId="0" fontId="20" fillId="0" borderId="9" xfId="0" applyNumberFormat="1" applyFont="1" applyBorder="1" applyAlignment="1">
      <alignment horizontal="center" vertical="center"/>
    </xf>
    <xf numFmtId="0" fontId="20" fillId="0" borderId="8" xfId="0" applyNumberFormat="1" applyFont="1" applyBorder="1" applyAlignment="1">
      <alignment horizontal="center" vertical="center"/>
    </xf>
    <xf numFmtId="0" fontId="11" fillId="0" borderId="44" xfId="0" applyNumberFormat="1" applyFont="1" applyBorder="1" applyAlignment="1">
      <alignment horizontal="center" vertical="center"/>
    </xf>
    <xf numFmtId="41" fontId="11" fillId="0" borderId="14" xfId="2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 wrapText="1"/>
    </xf>
    <xf numFmtId="0" fontId="11" fillId="0" borderId="8" xfId="0" applyNumberFormat="1" applyFont="1" applyBorder="1" applyAlignment="1">
      <alignment horizontal="center" vertical="center"/>
    </xf>
    <xf numFmtId="0" fontId="11" fillId="0" borderId="10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41" fontId="11" fillId="0" borderId="10" xfId="2" applyNumberFormat="1" applyFont="1" applyFill="1" applyBorder="1" applyAlignment="1">
      <alignment horizontal="center" vertical="center"/>
    </xf>
    <xf numFmtId="41" fontId="11" fillId="0" borderId="4" xfId="2" applyNumberFormat="1" applyFont="1" applyFill="1" applyBorder="1" applyAlignment="1">
      <alignment horizontal="center" vertical="center"/>
    </xf>
    <xf numFmtId="41" fontId="11" fillId="0" borderId="3" xfId="2" applyNumberFormat="1" applyFont="1" applyFill="1" applyBorder="1" applyAlignment="1">
      <alignment horizontal="center" vertical="center"/>
    </xf>
    <xf numFmtId="0" fontId="18" fillId="0" borderId="46" xfId="0" applyNumberFormat="1" applyFont="1" applyBorder="1" applyAlignment="1">
      <alignment horizontal="center" vertical="center"/>
    </xf>
    <xf numFmtId="0" fontId="18" fillId="0" borderId="31" xfId="0" applyNumberFormat="1" applyFont="1" applyBorder="1" applyAlignment="1">
      <alignment horizontal="center" vertical="center"/>
    </xf>
    <xf numFmtId="0" fontId="18" fillId="0" borderId="68" xfId="0" applyNumberFormat="1" applyFont="1" applyBorder="1" applyAlignment="1">
      <alignment horizontal="center" vertical="center"/>
    </xf>
    <xf numFmtId="0" fontId="10" fillId="0" borderId="41" xfId="0" applyNumberFormat="1" applyFont="1" applyBorder="1" applyAlignment="1">
      <alignment horizontal="center" vertical="center"/>
    </xf>
    <xf numFmtId="180" fontId="11" fillId="0" borderId="9" xfId="2" applyNumberFormat="1" applyFont="1" applyBorder="1" applyAlignment="1">
      <alignment horizontal="right" vertical="center"/>
    </xf>
    <xf numFmtId="180" fontId="11" fillId="0" borderId="5" xfId="2" applyNumberFormat="1" applyFont="1" applyBorder="1" applyAlignment="1">
      <alignment horizontal="right" vertical="center"/>
    </xf>
    <xf numFmtId="0" fontId="20" fillId="0" borderId="41" xfId="0" applyNumberFormat="1" applyFont="1" applyBorder="1" applyAlignment="1">
      <alignment horizontal="center" vertical="center"/>
    </xf>
    <xf numFmtId="41" fontId="11" fillId="0" borderId="14" xfId="4" applyNumberFormat="1" applyFont="1" applyFill="1" applyBorder="1" applyAlignment="1">
      <alignment horizontal="center" vertical="center"/>
    </xf>
    <xf numFmtId="41" fontId="11" fillId="0" borderId="73" xfId="2" applyNumberFormat="1" applyFont="1" applyFill="1" applyBorder="1" applyAlignment="1">
      <alignment horizontal="center" vertical="center"/>
    </xf>
    <xf numFmtId="179" fontId="11" fillId="0" borderId="10" xfId="0" applyNumberFormat="1" applyFont="1" applyBorder="1" applyAlignment="1">
      <alignment horizontal="right" vertical="center"/>
    </xf>
    <xf numFmtId="179" fontId="11" fillId="0" borderId="4" xfId="0" applyNumberFormat="1" applyFont="1" applyBorder="1" applyAlignment="1">
      <alignment horizontal="right" vertical="center"/>
    </xf>
    <xf numFmtId="179" fontId="11" fillId="0" borderId="3" xfId="0" applyNumberFormat="1" applyFont="1" applyBorder="1" applyAlignment="1">
      <alignment horizontal="right" vertical="center"/>
    </xf>
    <xf numFmtId="0" fontId="18" fillId="0" borderId="72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8" fillId="0" borderId="69" xfId="0" applyNumberFormat="1" applyFont="1" applyBorder="1" applyAlignment="1">
      <alignment horizontal="center" vertical="center"/>
    </xf>
    <xf numFmtId="0" fontId="18" fillId="0" borderId="73" xfId="0" applyNumberFormat="1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 vertical="center"/>
    </xf>
    <xf numFmtId="0" fontId="18" fillId="0" borderId="67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right" vertical="center"/>
    </xf>
    <xf numFmtId="41" fontId="18" fillId="0" borderId="1" xfId="2" applyNumberFormat="1" applyFont="1" applyBorder="1" applyAlignment="1">
      <alignment horizontal="center" vertical="center" wrapText="1"/>
    </xf>
    <xf numFmtId="41" fontId="18" fillId="0" borderId="14" xfId="2" applyNumberFormat="1" applyFont="1" applyBorder="1" applyAlignment="1">
      <alignment horizontal="center" vertical="center" wrapText="1"/>
    </xf>
    <xf numFmtId="178" fontId="11" fillId="0" borderId="36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73" xfId="2" applyNumberFormat="1" applyFont="1" applyFill="1" applyBorder="1" applyAlignment="1">
      <alignment horizontal="right" vertical="center"/>
    </xf>
    <xf numFmtId="0" fontId="19" fillId="0" borderId="24" xfId="0" applyNumberFormat="1" applyFont="1" applyBorder="1" applyAlignment="1">
      <alignment horizontal="center" vertical="center"/>
    </xf>
    <xf numFmtId="0" fontId="19" fillId="0" borderId="37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0" fontId="20" fillId="0" borderId="22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8" fillId="0" borderId="27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41" fontId="18" fillId="0" borderId="72" xfId="4" applyNumberFormat="1" applyFont="1" applyFill="1" applyBorder="1" applyAlignment="1">
      <alignment horizontal="center" vertical="center" wrapText="1"/>
    </xf>
    <xf numFmtId="41" fontId="18" fillId="0" borderId="73" xfId="4" applyNumberFormat="1" applyFont="1" applyFill="1" applyBorder="1" applyAlignment="1">
      <alignment horizontal="center" vertical="center" wrapText="1"/>
    </xf>
    <xf numFmtId="41" fontId="10" fillId="0" borderId="37" xfId="0" applyNumberFormat="1" applyFont="1" applyBorder="1" applyAlignment="1">
      <alignment horizontal="center" vertical="center"/>
    </xf>
    <xf numFmtId="178" fontId="11" fillId="0" borderId="10" xfId="2" applyNumberFormat="1" applyFont="1" applyFill="1" applyBorder="1" applyAlignment="1">
      <alignment horizontal="right" vertical="center"/>
    </xf>
    <xf numFmtId="178" fontId="11" fillId="0" borderId="3" xfId="2" applyNumberFormat="1" applyFont="1" applyFill="1" applyBorder="1" applyAlignment="1">
      <alignment horizontal="right" vertical="center"/>
    </xf>
    <xf numFmtId="178" fontId="11" fillId="0" borderId="4" xfId="2" applyNumberFormat="1" applyFont="1" applyFill="1" applyBorder="1" applyAlignment="1">
      <alignment horizontal="right" vertical="center"/>
    </xf>
    <xf numFmtId="0" fontId="18" fillId="0" borderId="74" xfId="0" applyNumberFormat="1" applyFont="1" applyBorder="1" applyAlignment="1">
      <alignment horizontal="center" vertical="center"/>
    </xf>
    <xf numFmtId="0" fontId="18" fillId="0" borderId="44" xfId="0" applyNumberFormat="1" applyFont="1" applyBorder="1" applyAlignment="1">
      <alignment horizontal="center" vertical="center"/>
    </xf>
    <xf numFmtId="41" fontId="18" fillId="0" borderId="13" xfId="2" applyNumberFormat="1" applyFont="1" applyBorder="1" applyAlignment="1">
      <alignment horizontal="center" vertical="center"/>
    </xf>
    <xf numFmtId="41" fontId="11" fillId="0" borderId="71" xfId="2" applyNumberFormat="1" applyFont="1" applyBorder="1" applyAlignment="1">
      <alignment horizontal="center" vertical="center"/>
    </xf>
    <xf numFmtId="41" fontId="11" fillId="0" borderId="20" xfId="2" applyNumberFormat="1" applyFont="1" applyBorder="1" applyAlignment="1">
      <alignment horizontal="center" vertical="center"/>
    </xf>
    <xf numFmtId="41" fontId="11" fillId="0" borderId="56" xfId="2" applyNumberFormat="1" applyFont="1" applyFill="1" applyBorder="1" applyAlignment="1">
      <alignment horizontal="center" vertical="center"/>
    </xf>
    <xf numFmtId="41" fontId="11" fillId="0" borderId="23" xfId="2" applyNumberFormat="1" applyFont="1" applyFill="1" applyBorder="1" applyAlignment="1">
      <alignment horizontal="center" vertical="center"/>
    </xf>
    <xf numFmtId="41" fontId="11" fillId="0" borderId="56" xfId="2" applyNumberFormat="1" applyFont="1" applyBorder="1" applyAlignment="1">
      <alignment horizontal="center" vertical="center"/>
    </xf>
    <xf numFmtId="41" fontId="11" fillId="0" borderId="23" xfId="2" applyNumberFormat="1" applyFont="1" applyBorder="1" applyAlignment="1">
      <alignment horizontal="center" vertical="center"/>
    </xf>
    <xf numFmtId="41" fontId="11" fillId="0" borderId="56" xfId="4" applyNumberFormat="1" applyFont="1" applyBorder="1" applyAlignment="1">
      <alignment horizontal="center" vertical="center"/>
    </xf>
    <xf numFmtId="41" fontId="11" fillId="0" borderId="23" xfId="4" applyNumberFormat="1" applyFont="1" applyBorder="1" applyAlignment="1">
      <alignment horizontal="center" vertical="center"/>
    </xf>
    <xf numFmtId="41" fontId="11" fillId="0" borderId="48" xfId="4" applyNumberFormat="1" applyFont="1" applyBorder="1" applyAlignment="1">
      <alignment horizontal="center" vertical="center"/>
    </xf>
    <xf numFmtId="41" fontId="11" fillId="2" borderId="56" xfId="4" applyNumberFormat="1" applyFont="1" applyFill="1" applyBorder="1" applyAlignment="1">
      <alignment horizontal="center" vertical="center"/>
    </xf>
    <xf numFmtId="41" fontId="11" fillId="2" borderId="48" xfId="4" applyNumberFormat="1" applyFont="1" applyFill="1" applyBorder="1" applyAlignment="1">
      <alignment horizontal="center" vertical="center"/>
    </xf>
    <xf numFmtId="41" fontId="11" fillId="2" borderId="23" xfId="4" applyNumberFormat="1" applyFont="1" applyFill="1" applyBorder="1" applyAlignment="1">
      <alignment horizontal="center" vertical="center"/>
    </xf>
    <xf numFmtId="179" fontId="11" fillId="0" borderId="56" xfId="4" applyNumberFormat="1" applyFont="1" applyBorder="1" applyAlignment="1">
      <alignment vertical="center"/>
    </xf>
    <xf numFmtId="179" fontId="11" fillId="0" borderId="23" xfId="4" applyNumberFormat="1" applyFont="1" applyBorder="1" applyAlignment="1">
      <alignment vertical="center"/>
    </xf>
    <xf numFmtId="179" fontId="11" fillId="0" borderId="56" xfId="4" applyNumberFormat="1" applyFont="1" applyBorder="1" applyAlignment="1">
      <alignment horizontal="right" vertical="center"/>
    </xf>
    <xf numFmtId="179" fontId="11" fillId="0" borderId="48" xfId="4" applyNumberFormat="1" applyFont="1" applyBorder="1" applyAlignment="1">
      <alignment horizontal="right" vertical="center"/>
    </xf>
    <xf numFmtId="178" fontId="11" fillId="0" borderId="56" xfId="4" applyNumberFormat="1" applyFont="1" applyBorder="1" applyAlignment="1">
      <alignment horizontal="right" vertical="center"/>
    </xf>
    <xf numFmtId="178" fontId="11" fillId="0" borderId="48" xfId="4" applyNumberFormat="1" applyFont="1" applyBorder="1" applyAlignment="1">
      <alignment horizontal="right" vertical="center"/>
    </xf>
    <xf numFmtId="178" fontId="11" fillId="0" borderId="23" xfId="4" applyNumberFormat="1" applyFont="1" applyBorder="1" applyAlignment="1">
      <alignment horizontal="right" vertical="center"/>
    </xf>
    <xf numFmtId="41" fontId="11" fillId="0" borderId="56" xfId="4" applyNumberFormat="1" applyFont="1" applyFill="1" applyBorder="1" applyAlignment="1">
      <alignment horizontal="center" vertical="center"/>
    </xf>
    <xf numFmtId="41" fontId="11" fillId="0" borderId="23" xfId="4" applyNumberFormat="1" applyFont="1" applyFill="1" applyBorder="1" applyAlignment="1">
      <alignment horizontal="center" vertical="center"/>
    </xf>
    <xf numFmtId="41" fontId="11" fillId="0" borderId="48" xfId="4" applyNumberFormat="1" applyFont="1" applyFill="1" applyBorder="1" applyAlignment="1">
      <alignment horizontal="center" vertical="center"/>
    </xf>
    <xf numFmtId="179" fontId="11" fillId="0" borderId="56" xfId="4" applyNumberFormat="1" applyFont="1" applyBorder="1" applyAlignment="1">
      <alignment vertical="center" wrapText="1"/>
    </xf>
    <xf numFmtId="179" fontId="11" fillId="0" borderId="23" xfId="4" applyNumberFormat="1" applyFont="1" applyBorder="1" applyAlignment="1">
      <alignment vertical="center" wrapText="1"/>
    </xf>
    <xf numFmtId="179" fontId="11" fillId="0" borderId="48" xfId="4" applyNumberFormat="1" applyFont="1" applyBorder="1" applyAlignment="1">
      <alignment vertical="center" wrapText="1"/>
    </xf>
    <xf numFmtId="178" fontId="11" fillId="0" borderId="56" xfId="4" applyNumberFormat="1" applyFont="1" applyBorder="1" applyAlignment="1">
      <alignment horizontal="right" vertical="center" wrapText="1"/>
    </xf>
    <xf numFmtId="178" fontId="11" fillId="0" borderId="23" xfId="4" applyNumberFormat="1" applyFont="1" applyBorder="1" applyAlignment="1">
      <alignment horizontal="right" vertical="center" wrapText="1"/>
    </xf>
    <xf numFmtId="178" fontId="11" fillId="0" borderId="48" xfId="4" applyNumberFormat="1" applyFont="1" applyBorder="1" applyAlignment="1">
      <alignment horizontal="right" vertical="center" wrapText="1"/>
    </xf>
    <xf numFmtId="41" fontId="11" fillId="2" borderId="56" xfId="4" applyNumberFormat="1" applyFont="1" applyFill="1" applyBorder="1" applyAlignment="1">
      <alignment horizontal="center" vertical="center" wrapText="1"/>
    </xf>
    <xf numFmtId="41" fontId="11" fillId="2" borderId="23" xfId="4" applyNumberFormat="1" applyFont="1" applyFill="1" applyBorder="1" applyAlignment="1">
      <alignment horizontal="center" vertical="center" wrapText="1"/>
    </xf>
    <xf numFmtId="41" fontId="11" fillId="2" borderId="48" xfId="4" applyNumberFormat="1" applyFont="1" applyFill="1" applyBorder="1" applyAlignment="1">
      <alignment horizontal="center" vertical="center" wrapText="1"/>
    </xf>
    <xf numFmtId="179" fontId="11" fillId="0" borderId="48" xfId="4" applyNumberFormat="1" applyFont="1" applyBorder="1" applyAlignment="1">
      <alignment vertical="center"/>
    </xf>
    <xf numFmtId="178" fontId="11" fillId="0" borderId="56" xfId="2" applyNumberFormat="1" applyFont="1" applyBorder="1" applyAlignment="1">
      <alignment horizontal="right" vertical="center"/>
    </xf>
    <xf numFmtId="178" fontId="11" fillId="0" borderId="23" xfId="2" applyNumberFormat="1" applyFont="1" applyBorder="1" applyAlignment="1">
      <alignment horizontal="right" vertical="center"/>
    </xf>
    <xf numFmtId="179" fontId="11" fillId="0" borderId="56" xfId="2" applyNumberFormat="1" applyFont="1" applyBorder="1" applyAlignment="1">
      <alignment vertical="center"/>
    </xf>
    <xf numFmtId="179" fontId="11" fillId="0" borderId="48" xfId="2" applyNumberFormat="1" applyFont="1" applyBorder="1" applyAlignment="1">
      <alignment vertical="center"/>
    </xf>
    <xf numFmtId="179" fontId="11" fillId="0" borderId="23" xfId="2" applyNumberFormat="1" applyFont="1" applyBorder="1" applyAlignment="1">
      <alignment vertical="center"/>
    </xf>
    <xf numFmtId="179" fontId="11" fillId="0" borderId="56" xfId="2" applyNumberFormat="1" applyFont="1" applyBorder="1" applyAlignment="1">
      <alignment horizontal="right" vertical="center"/>
    </xf>
    <xf numFmtId="179" fontId="11" fillId="0" borderId="23" xfId="2" applyNumberFormat="1" applyFont="1" applyBorder="1" applyAlignment="1">
      <alignment horizontal="right" vertical="center"/>
    </xf>
    <xf numFmtId="179" fontId="11" fillId="0" borderId="48" xfId="2" applyNumberFormat="1" applyFont="1" applyBorder="1" applyAlignment="1">
      <alignment horizontal="right" vertical="center"/>
    </xf>
    <xf numFmtId="178" fontId="11" fillId="0" borderId="48" xfId="2" applyNumberFormat="1" applyFont="1" applyBorder="1" applyAlignment="1">
      <alignment horizontal="right" vertical="center"/>
    </xf>
    <xf numFmtId="41" fontId="11" fillId="0" borderId="48" xfId="2" applyNumberFormat="1" applyFont="1" applyFill="1" applyBorder="1" applyAlignment="1">
      <alignment horizontal="center" vertical="center"/>
    </xf>
    <xf numFmtId="41" fontId="11" fillId="0" borderId="48" xfId="2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41" fontId="11" fillId="0" borderId="62" xfId="2" applyNumberFormat="1" applyFont="1" applyFill="1" applyBorder="1" applyAlignment="1">
      <alignment horizontal="center" vertical="center"/>
    </xf>
    <xf numFmtId="183" fontId="10" fillId="0" borderId="29" xfId="0" applyNumberFormat="1" applyFont="1" applyBorder="1" applyAlignment="1">
      <alignment horizontal="center" vertical="center" shrinkToFit="1"/>
    </xf>
    <xf numFmtId="41" fontId="11" fillId="2" borderId="62" xfId="4" applyNumberFormat="1" applyFont="1" applyFill="1" applyBorder="1" applyAlignment="1">
      <alignment horizontal="center" vertical="center"/>
    </xf>
    <xf numFmtId="41" fontId="11" fillId="2" borderId="45" xfId="4" applyNumberFormat="1" applyFont="1" applyFill="1" applyBorder="1" applyAlignment="1">
      <alignment horizontal="center" vertical="center"/>
    </xf>
    <xf numFmtId="41" fontId="11" fillId="0" borderId="62" xfId="2" applyNumberFormat="1" applyFont="1" applyBorder="1" applyAlignment="1">
      <alignment horizontal="center" vertical="center"/>
    </xf>
    <xf numFmtId="184" fontId="10" fillId="0" borderId="0" xfId="0" applyNumberFormat="1" applyFont="1" applyBorder="1" applyAlignment="1">
      <alignment horizontal="center" vertical="center"/>
    </xf>
    <xf numFmtId="10" fontId="10" fillId="0" borderId="0" xfId="0" applyNumberFormat="1" applyFont="1" applyBorder="1" applyAlignment="1">
      <alignment horizontal="center" vertical="center"/>
    </xf>
    <xf numFmtId="179" fontId="11" fillId="0" borderId="62" xfId="2" applyNumberFormat="1" applyFont="1" applyBorder="1" applyAlignment="1">
      <alignment vertical="center"/>
    </xf>
    <xf numFmtId="178" fontId="11" fillId="0" borderId="62" xfId="2" applyNumberFormat="1" applyFont="1" applyBorder="1" applyAlignment="1">
      <alignment horizontal="right"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26" xfId="0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/>
    </xf>
    <xf numFmtId="0" fontId="10" fillId="0" borderId="42" xfId="0" applyNumberFormat="1" applyFont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22" xfId="0" applyNumberFormat="1" applyFont="1" applyBorder="1" applyAlignment="1">
      <alignment horizontal="center" vertical="center" wrapText="1"/>
    </xf>
    <xf numFmtId="0" fontId="10" fillId="0" borderId="42" xfId="0" applyNumberFormat="1" applyFont="1" applyBorder="1" applyAlignment="1">
      <alignment horizontal="center" vertical="center" wrapText="1"/>
    </xf>
    <xf numFmtId="41" fontId="11" fillId="0" borderId="56" xfId="4" applyNumberFormat="1" applyFont="1" applyFill="1" applyBorder="1" applyAlignment="1">
      <alignment horizontal="center" vertical="center" wrapText="1"/>
    </xf>
    <xf numFmtId="41" fontId="11" fillId="0" borderId="23" xfId="4" applyNumberFormat="1" applyFont="1" applyFill="1" applyBorder="1" applyAlignment="1">
      <alignment horizontal="center" vertical="center" wrapText="1"/>
    </xf>
    <xf numFmtId="41" fontId="11" fillId="0" borderId="48" xfId="4" applyNumberFormat="1" applyFont="1" applyFill="1" applyBorder="1" applyAlignment="1">
      <alignment horizontal="center" vertical="center" wrapText="1"/>
    </xf>
    <xf numFmtId="0" fontId="20" fillId="0" borderId="13" xfId="0" applyNumberFormat="1" applyFont="1" applyBorder="1" applyAlignment="1">
      <alignment horizontal="center" vertical="center"/>
    </xf>
    <xf numFmtId="0" fontId="20" fillId="0" borderId="70" xfId="0" applyNumberFormat="1" applyFont="1" applyBorder="1" applyAlignment="1">
      <alignment horizontal="center" vertical="center"/>
    </xf>
    <xf numFmtId="41" fontId="11" fillId="0" borderId="62" xfId="4" applyNumberFormat="1" applyFont="1" applyFill="1" applyBorder="1" applyAlignment="1">
      <alignment horizontal="center" vertical="center"/>
    </xf>
    <xf numFmtId="41" fontId="18" fillId="0" borderId="66" xfId="2" applyNumberFormat="1" applyFont="1" applyBorder="1" applyAlignment="1">
      <alignment horizontal="center" vertical="center" wrapText="1"/>
    </xf>
    <xf numFmtId="41" fontId="18" fillId="0" borderId="65" xfId="2" applyNumberFormat="1" applyFont="1" applyBorder="1" applyAlignment="1">
      <alignment horizontal="center" vertical="center" wrapText="1"/>
    </xf>
    <xf numFmtId="41" fontId="11" fillId="0" borderId="56" xfId="2" applyNumberFormat="1" applyFont="1" applyFill="1" applyBorder="1" applyAlignment="1">
      <alignment horizontal="right" vertical="center"/>
    </xf>
    <xf numFmtId="41" fontId="11" fillId="0" borderId="23" xfId="2" applyNumberFormat="1" applyFont="1" applyFill="1" applyBorder="1" applyAlignment="1">
      <alignment horizontal="right" vertical="center"/>
    </xf>
    <xf numFmtId="41" fontId="11" fillId="0" borderId="48" xfId="2" applyNumberFormat="1" applyFont="1" applyFill="1" applyBorder="1" applyAlignment="1">
      <alignment horizontal="right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26" xfId="0" applyNumberFormat="1" applyFont="1" applyBorder="1" applyAlignment="1">
      <alignment horizontal="center" vertical="center" wrapText="1"/>
    </xf>
    <xf numFmtId="0" fontId="10" fillId="0" borderId="67" xfId="0" applyNumberFormat="1" applyFont="1" applyBorder="1" applyAlignment="1">
      <alignment horizontal="center" vertical="center" wrapText="1"/>
    </xf>
    <xf numFmtId="0" fontId="10" fillId="0" borderId="15" xfId="0" applyNumberFormat="1" applyFont="1" applyBorder="1" applyAlignment="1">
      <alignment horizontal="center" vertical="center" wrapText="1"/>
    </xf>
    <xf numFmtId="41" fontId="11" fillId="0" borderId="56" xfId="2" applyNumberFormat="1" applyFont="1" applyFill="1" applyBorder="1" applyAlignment="1">
      <alignment horizontal="center" vertical="center" wrapText="1"/>
    </xf>
    <xf numFmtId="41" fontId="11" fillId="0" borderId="23" xfId="2" applyNumberFormat="1" applyFont="1" applyFill="1" applyBorder="1" applyAlignment="1">
      <alignment horizontal="center" vertical="center" wrapText="1"/>
    </xf>
    <xf numFmtId="41" fontId="11" fillId="0" borderId="48" xfId="2" applyNumberFormat="1" applyFont="1" applyFill="1" applyBorder="1" applyAlignment="1">
      <alignment horizontal="center" vertical="center" wrapText="1"/>
    </xf>
    <xf numFmtId="178" fontId="11" fillId="0" borderId="56" xfId="2" applyNumberFormat="1" applyFont="1" applyFill="1" applyBorder="1" applyAlignment="1">
      <alignment horizontal="right" vertical="center"/>
    </xf>
    <xf numFmtId="178" fontId="11" fillId="0" borderId="23" xfId="2" applyNumberFormat="1" applyFont="1" applyFill="1" applyBorder="1" applyAlignment="1">
      <alignment horizontal="right" vertical="center"/>
    </xf>
    <xf numFmtId="178" fontId="11" fillId="0" borderId="65" xfId="2" applyNumberFormat="1" applyFont="1" applyFill="1" applyBorder="1" applyAlignment="1">
      <alignment horizontal="right" vertical="center"/>
    </xf>
    <xf numFmtId="0" fontId="10" fillId="0" borderId="7" xfId="0" applyNumberFormat="1" applyFont="1" applyBorder="1" applyAlignment="1">
      <alignment horizontal="center" vertical="center" wrapText="1"/>
    </xf>
    <xf numFmtId="0" fontId="11" fillId="0" borderId="23" xfId="0" applyNumberFormat="1" applyFont="1" applyFill="1" applyBorder="1" applyAlignment="1">
      <alignment horizontal="center" vertical="center"/>
    </xf>
    <xf numFmtId="41" fontId="11" fillId="0" borderId="56" xfId="4" applyNumberFormat="1" applyFont="1" applyBorder="1" applyAlignment="1">
      <alignment horizontal="center" vertical="center" wrapText="1"/>
    </xf>
    <xf numFmtId="41" fontId="11" fillId="0" borderId="23" xfId="4" applyNumberFormat="1" applyFont="1" applyBorder="1" applyAlignment="1">
      <alignment horizontal="center" vertical="center" wrapText="1"/>
    </xf>
    <xf numFmtId="41" fontId="11" fillId="0" borderId="48" xfId="4" applyNumberFormat="1" applyFont="1" applyBorder="1" applyAlignment="1">
      <alignment horizontal="center" vertical="center" wrapText="1"/>
    </xf>
    <xf numFmtId="41" fontId="11" fillId="0" borderId="62" xfId="4" applyNumberFormat="1" applyFont="1" applyBorder="1" applyAlignment="1">
      <alignment horizontal="center" vertical="center"/>
    </xf>
    <xf numFmtId="178" fontId="11" fillId="0" borderId="62" xfId="0" applyNumberFormat="1" applyFont="1" applyBorder="1" applyAlignment="1">
      <alignment horizontal="right" vertical="center"/>
    </xf>
    <xf numFmtId="0" fontId="10" fillId="0" borderId="7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20" fillId="0" borderId="25" xfId="0" applyNumberFormat="1" applyFont="1" applyBorder="1" applyAlignment="1">
      <alignment horizontal="center" vertical="center"/>
    </xf>
    <xf numFmtId="178" fontId="11" fillId="0" borderId="62" xfId="4" applyNumberFormat="1" applyFont="1" applyBorder="1" applyAlignment="1">
      <alignment horizontal="right" vertical="center"/>
    </xf>
    <xf numFmtId="179" fontId="11" fillId="0" borderId="23" xfId="4" applyNumberFormat="1" applyFont="1" applyBorder="1" applyAlignment="1">
      <alignment horizontal="right" vertical="center"/>
    </xf>
    <xf numFmtId="178" fontId="11" fillId="0" borderId="63" xfId="4" applyNumberFormat="1" applyFont="1" applyBorder="1" applyAlignment="1">
      <alignment horizontal="right" vertical="center"/>
    </xf>
    <xf numFmtId="179" fontId="11" fillId="0" borderId="62" xfId="4" applyNumberFormat="1" applyFont="1" applyBorder="1" applyAlignment="1">
      <alignment vertical="center"/>
    </xf>
    <xf numFmtId="0" fontId="10" fillId="0" borderId="57" xfId="0" applyNumberFormat="1" applyFont="1" applyBorder="1" applyAlignment="1">
      <alignment horizontal="left" vertical="center"/>
    </xf>
    <xf numFmtId="0" fontId="10" fillId="0" borderId="37" xfId="0" applyNumberFormat="1" applyFont="1" applyBorder="1" applyAlignment="1">
      <alignment horizontal="left" vertical="center"/>
    </xf>
    <xf numFmtId="0" fontId="10" fillId="0" borderId="19" xfId="0" applyNumberFormat="1" applyFont="1" applyBorder="1" applyAlignment="1">
      <alignment horizontal="center" vertical="center" shrinkToFit="1"/>
    </xf>
    <xf numFmtId="0" fontId="10" fillId="0" borderId="15" xfId="0" applyNumberFormat="1" applyFont="1" applyBorder="1" applyAlignment="1">
      <alignment horizontal="center" vertical="center" shrinkToFit="1"/>
    </xf>
    <xf numFmtId="0" fontId="10" fillId="0" borderId="26" xfId="0" applyNumberFormat="1" applyFont="1" applyBorder="1" applyAlignment="1">
      <alignment horizontal="center" vertical="center" shrinkToFit="1"/>
    </xf>
    <xf numFmtId="0" fontId="18" fillId="0" borderId="66" xfId="0" applyNumberFormat="1" applyFont="1" applyBorder="1" applyAlignment="1">
      <alignment horizontal="center" vertical="center"/>
    </xf>
    <xf numFmtId="0" fontId="18" fillId="0" borderId="65" xfId="0" applyNumberFormat="1" applyFont="1" applyBorder="1" applyAlignment="1">
      <alignment horizontal="center" vertical="center"/>
    </xf>
    <xf numFmtId="41" fontId="18" fillId="0" borderId="58" xfId="2" applyNumberFormat="1" applyFont="1" applyBorder="1" applyAlignment="1">
      <alignment horizontal="center" vertical="center"/>
    </xf>
    <xf numFmtId="41" fontId="18" fillId="2" borderId="66" xfId="4" applyNumberFormat="1" applyFont="1" applyFill="1" applyBorder="1" applyAlignment="1">
      <alignment horizontal="center" vertical="center" wrapText="1"/>
    </xf>
    <xf numFmtId="41" fontId="18" fillId="2" borderId="47" xfId="4" applyNumberFormat="1" applyFont="1" applyFill="1" applyBorder="1" applyAlignment="1">
      <alignment horizontal="center" vertical="center" wrapText="1"/>
    </xf>
    <xf numFmtId="179" fontId="11" fillId="0" borderId="57" xfId="4" applyNumberFormat="1" applyFont="1" applyBorder="1" applyAlignment="1">
      <alignment vertical="center"/>
    </xf>
    <xf numFmtId="179" fontId="11" fillId="0" borderId="30" xfId="4" applyNumberFormat="1" applyFont="1" applyBorder="1" applyAlignment="1">
      <alignment vertical="center"/>
    </xf>
    <xf numFmtId="0" fontId="16" fillId="0" borderId="0" xfId="0" applyNumberFormat="1" applyFont="1" applyBorder="1" applyAlignment="1">
      <alignment horizontal="left" vertical="center"/>
    </xf>
    <xf numFmtId="0" fontId="22" fillId="0" borderId="0" xfId="0" applyNumberFormat="1" applyFont="1" applyBorder="1" applyAlignment="1">
      <alignment horizontal="left"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21" xfId="0" applyNumberFormat="1" applyFont="1" applyBorder="1" applyAlignment="1">
      <alignment horizontal="center" vertical="center"/>
    </xf>
    <xf numFmtId="0" fontId="10" fillId="0" borderId="24" xfId="0" applyNumberFormat="1" applyFont="1" applyBorder="1" applyAlignment="1">
      <alignment horizontal="center" vertical="center" wrapText="1" shrinkToFit="1"/>
    </xf>
    <xf numFmtId="0" fontId="10" fillId="0" borderId="42" xfId="0" applyNumberFormat="1" applyFont="1" applyBorder="1" applyAlignment="1">
      <alignment horizontal="center" vertical="center" shrinkToFit="1"/>
    </xf>
    <xf numFmtId="0" fontId="10" fillId="0" borderId="8" xfId="0" applyNumberFormat="1" applyFont="1" applyBorder="1" applyAlignment="1">
      <alignment horizontal="center" vertical="center" wrapText="1"/>
    </xf>
    <xf numFmtId="178" fontId="11" fillId="0" borderId="65" xfId="2" applyNumberFormat="1" applyFont="1" applyBorder="1" applyAlignment="1">
      <alignment horizontal="right" vertical="center"/>
    </xf>
    <xf numFmtId="179" fontId="11" fillId="0" borderId="23" xfId="0" applyNumberFormat="1" applyFont="1" applyBorder="1" applyAlignment="1">
      <alignment vertical="center"/>
    </xf>
    <xf numFmtId="178" fontId="11" fillId="0" borderId="23" xfId="0" applyNumberFormat="1" applyFont="1" applyBorder="1" applyAlignment="1">
      <alignment horizontal="right" vertical="center"/>
    </xf>
    <xf numFmtId="178" fontId="11" fillId="0" borderId="56" xfId="0" applyNumberFormat="1" applyFont="1" applyBorder="1" applyAlignment="1">
      <alignment horizontal="right" vertical="center"/>
    </xf>
    <xf numFmtId="178" fontId="11" fillId="0" borderId="48" xfId="0" applyNumberFormat="1" applyFont="1" applyBorder="1" applyAlignment="1">
      <alignment horizontal="right" vertical="center"/>
    </xf>
    <xf numFmtId="41" fontId="11" fillId="0" borderId="65" xfId="2" applyNumberFormat="1" applyFont="1" applyFill="1" applyBorder="1" applyAlignment="1">
      <alignment horizontal="center" vertical="center"/>
    </xf>
    <xf numFmtId="179" fontId="11" fillId="0" borderId="65" xfId="2" applyNumberFormat="1" applyFont="1" applyBorder="1" applyAlignment="1">
      <alignment horizontal="right" vertical="center"/>
    </xf>
    <xf numFmtId="178" fontId="11" fillId="0" borderId="48" xfId="2" applyNumberFormat="1" applyFont="1" applyFill="1" applyBorder="1" applyAlignment="1">
      <alignment horizontal="right" vertical="center"/>
    </xf>
    <xf numFmtId="0" fontId="19" fillId="0" borderId="10" xfId="0" applyNumberFormat="1" applyFont="1" applyBorder="1" applyAlignment="1">
      <alignment horizontal="center" vertical="top" wrapText="1"/>
    </xf>
    <xf numFmtId="0" fontId="19" fillId="0" borderId="4" xfId="0" applyNumberFormat="1" applyFont="1" applyBorder="1" applyAlignment="1">
      <alignment horizontal="center" vertical="top" wrapText="1"/>
    </xf>
    <xf numFmtId="0" fontId="19" fillId="0" borderId="14" xfId="0" applyNumberFormat="1" applyFont="1" applyBorder="1" applyAlignment="1">
      <alignment horizontal="center" vertical="top" wrapText="1"/>
    </xf>
    <xf numFmtId="0" fontId="11" fillId="0" borderId="23" xfId="0" applyNumberFormat="1" applyFont="1" applyBorder="1" applyAlignment="1">
      <alignment horizontal="center" vertical="center"/>
    </xf>
    <xf numFmtId="178" fontId="11" fillId="2" borderId="62" xfId="0" applyNumberFormat="1" applyFont="1" applyFill="1" applyBorder="1" applyAlignment="1">
      <alignment horizontal="right" vertical="center"/>
    </xf>
    <xf numFmtId="0" fontId="10" fillId="0" borderId="29" xfId="0" applyNumberFormat="1" applyFont="1" applyFill="1" applyBorder="1" applyAlignment="1">
      <alignment horizontal="center" vertical="center" shrinkToFit="1"/>
    </xf>
    <xf numFmtId="0" fontId="13" fillId="0" borderId="42" xfId="0" applyNumberFormat="1" applyFont="1" applyFill="1" applyBorder="1" applyAlignment="1">
      <alignment horizontal="left" vertical="center" shrinkToFit="1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3"/>
  <sheetViews>
    <sheetView topLeftCell="A10" zoomScaleNormal="100" zoomScaleSheetLayoutView="75" workbookViewId="0">
      <selection activeCell="F12" sqref="F12:G12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543" t="s">
        <v>538</v>
      </c>
      <c r="B2" s="543"/>
      <c r="C2" s="543"/>
      <c r="D2" s="543"/>
      <c r="E2" s="543"/>
      <c r="F2" s="543"/>
      <c r="G2" s="543"/>
      <c r="H2" s="543"/>
      <c r="I2" s="543"/>
      <c r="J2" s="543"/>
      <c r="K2" s="543"/>
      <c r="L2" s="543"/>
      <c r="M2" s="543"/>
      <c r="N2" s="543"/>
      <c r="O2" s="543"/>
      <c r="P2" s="543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105</v>
      </c>
      <c r="C5" s="544" t="s">
        <v>540</v>
      </c>
      <c r="D5" s="544"/>
      <c r="E5" s="544"/>
      <c r="F5" s="544"/>
      <c r="G5" s="544"/>
      <c r="H5" s="544"/>
      <c r="I5" s="544"/>
      <c r="J5" s="544"/>
      <c r="K5" s="544"/>
      <c r="L5" s="544"/>
      <c r="M5" s="544"/>
      <c r="N5" s="544"/>
      <c r="O5" s="544"/>
    </row>
    <row r="6" spans="1:16" ht="21.75" customHeight="1">
      <c r="B6" s="5"/>
      <c r="C6" s="545" t="s">
        <v>541</v>
      </c>
      <c r="D6" s="545"/>
      <c r="E6" s="545"/>
      <c r="F6" s="545"/>
      <c r="G6" s="545"/>
      <c r="H6" s="545"/>
      <c r="I6" s="545"/>
      <c r="J6" s="545"/>
      <c r="K6" s="545"/>
      <c r="L6" s="545"/>
      <c r="M6" s="4"/>
      <c r="N6" s="4"/>
      <c r="O6" s="4"/>
    </row>
    <row r="7" spans="1:16" ht="21.75" customHeight="1">
      <c r="B7" s="5"/>
      <c r="C7" s="544" t="s">
        <v>349</v>
      </c>
      <c r="D7" s="544"/>
      <c r="E7" s="548" t="s">
        <v>349</v>
      </c>
      <c r="F7" s="548"/>
      <c r="G7" s="544"/>
      <c r="H7" s="544"/>
      <c r="I7" s="544"/>
      <c r="J7" s="544"/>
      <c r="K7" s="544"/>
      <c r="L7" s="544"/>
      <c r="M7" s="4"/>
      <c r="N7" s="4"/>
      <c r="O7" s="4"/>
    </row>
    <row r="8" spans="1:16" ht="21.75" customHeight="1">
      <c r="B8" s="5" t="s">
        <v>5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500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98</v>
      </c>
      <c r="E10" s="6"/>
      <c r="F10" s="546">
        <v>86251</v>
      </c>
      <c r="G10" s="546"/>
      <c r="H10" s="6" t="s">
        <v>373</v>
      </c>
      <c r="I10" s="6" t="s">
        <v>140</v>
      </c>
      <c r="J10" s="546">
        <v>940</v>
      </c>
      <c r="K10" s="546"/>
      <c r="L10" s="6" t="s">
        <v>373</v>
      </c>
      <c r="M10" s="4"/>
      <c r="N10" s="4"/>
      <c r="O10" s="4"/>
    </row>
    <row r="11" spans="1:16" ht="21.75" customHeight="1">
      <c r="B11" s="5"/>
      <c r="C11" s="5"/>
      <c r="D11" s="5" t="s">
        <v>229</v>
      </c>
      <c r="E11" s="6"/>
      <c r="F11" s="546">
        <v>140000</v>
      </c>
      <c r="G11" s="546"/>
      <c r="H11" s="6" t="s">
        <v>373</v>
      </c>
      <c r="I11" s="6" t="s">
        <v>187</v>
      </c>
      <c r="J11" s="546">
        <v>1923415.43484</v>
      </c>
      <c r="K11" s="546"/>
      <c r="L11" s="6" t="s">
        <v>373</v>
      </c>
      <c r="M11" s="4"/>
      <c r="N11" s="4"/>
      <c r="O11" s="4"/>
    </row>
    <row r="12" spans="1:16" ht="21.75" customHeight="1">
      <c r="B12" s="5"/>
      <c r="C12" s="5"/>
      <c r="D12" s="5" t="s">
        <v>120</v>
      </c>
      <c r="E12" s="6"/>
      <c r="F12" s="546">
        <v>1468212.79</v>
      </c>
      <c r="G12" s="546"/>
      <c r="H12" s="6" t="s">
        <v>373</v>
      </c>
      <c r="I12" s="5" t="s">
        <v>244</v>
      </c>
      <c r="J12" s="547">
        <v>4769082.949</v>
      </c>
      <c r="K12" s="547"/>
      <c r="L12" s="10" t="s">
        <v>373</v>
      </c>
      <c r="M12" s="6"/>
      <c r="N12" s="4"/>
      <c r="O12" s="4"/>
    </row>
    <row r="13" spans="1:16" ht="21.75" customHeight="1">
      <c r="B13" s="5"/>
      <c r="C13" s="5"/>
      <c r="D13" s="5" t="s">
        <v>76</v>
      </c>
      <c r="F13" s="546">
        <v>284086.75</v>
      </c>
      <c r="G13" s="546"/>
      <c r="H13" s="11" t="s">
        <v>373</v>
      </c>
      <c r="I13" s="11"/>
      <c r="J13" s="549"/>
      <c r="K13" s="550"/>
      <c r="L13" s="10"/>
      <c r="M13" s="4"/>
      <c r="N13" s="4"/>
      <c r="O13" s="4"/>
    </row>
    <row r="14" spans="1:16" ht="21.75" customHeight="1">
      <c r="B14" s="5"/>
      <c r="C14" s="5" t="s">
        <v>17</v>
      </c>
      <c r="D14" s="6"/>
      <c r="E14" s="6"/>
      <c r="F14" s="6"/>
      <c r="G14" s="6"/>
      <c r="H14" s="6"/>
      <c r="I14" s="6"/>
      <c r="J14" s="553"/>
      <c r="K14" s="553"/>
      <c r="L14" s="6"/>
      <c r="M14" s="4"/>
      <c r="N14" s="4"/>
      <c r="O14" s="4"/>
    </row>
    <row r="15" spans="1:16" ht="21.75" customHeight="1">
      <c r="B15" s="5"/>
      <c r="C15" s="5"/>
      <c r="D15" s="5" t="s">
        <v>192</v>
      </c>
      <c r="E15" s="6"/>
      <c r="F15" s="546">
        <v>1969109.3399199997</v>
      </c>
      <c r="G15" s="546"/>
      <c r="H15" s="6" t="s">
        <v>373</v>
      </c>
      <c r="I15" s="6" t="s">
        <v>282</v>
      </c>
      <c r="J15" s="546">
        <v>18916</v>
      </c>
      <c r="K15" s="546"/>
      <c r="L15" s="6" t="s">
        <v>373</v>
      </c>
      <c r="M15" s="4"/>
      <c r="N15" s="4"/>
      <c r="O15" s="4"/>
    </row>
    <row r="16" spans="1:16" ht="21.75" customHeight="1">
      <c r="B16" s="5"/>
      <c r="C16" s="5"/>
      <c r="D16" s="5" t="s">
        <v>178</v>
      </c>
      <c r="E16" s="6"/>
      <c r="F16" s="546">
        <v>647093.17382000003</v>
      </c>
      <c r="G16" s="546"/>
      <c r="H16" s="6" t="s">
        <v>373</v>
      </c>
      <c r="I16" s="6" t="s">
        <v>300</v>
      </c>
      <c r="J16" s="546">
        <v>0</v>
      </c>
      <c r="K16" s="546"/>
      <c r="L16" s="6" t="s">
        <v>373</v>
      </c>
      <c r="M16" s="4"/>
      <c r="N16" s="4"/>
      <c r="O16" s="4"/>
    </row>
    <row r="17" spans="2:15" ht="21.75" customHeight="1">
      <c r="B17" s="5"/>
      <c r="C17" s="5"/>
      <c r="D17" s="5" t="s">
        <v>136</v>
      </c>
      <c r="E17" s="6"/>
      <c r="F17" s="546">
        <v>35000</v>
      </c>
      <c r="G17" s="546"/>
      <c r="H17" s="6" t="s">
        <v>373</v>
      </c>
      <c r="I17" s="6" t="s">
        <v>134</v>
      </c>
      <c r="J17" s="546">
        <v>0</v>
      </c>
      <c r="K17" s="546"/>
      <c r="L17" s="6" t="s">
        <v>373</v>
      </c>
      <c r="M17" s="4"/>
      <c r="N17" s="4"/>
      <c r="O17" s="4"/>
    </row>
    <row r="18" spans="2:15" ht="21.75" customHeight="1">
      <c r="B18" s="5"/>
      <c r="C18" s="5"/>
      <c r="D18" s="5" t="s">
        <v>306</v>
      </c>
      <c r="E18" s="6"/>
      <c r="F18" s="546">
        <v>1936102.88479</v>
      </c>
      <c r="G18" s="546"/>
      <c r="H18" s="6" t="s">
        <v>373</v>
      </c>
      <c r="I18" s="9" t="s">
        <v>290</v>
      </c>
      <c r="J18" s="546">
        <v>4065768.0249999999</v>
      </c>
      <c r="K18" s="546"/>
      <c r="L18" s="6" t="s">
        <v>373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546"/>
      <c r="G19" s="546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156</v>
      </c>
      <c r="C20" s="6" t="s">
        <v>14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509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349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188</v>
      </c>
      <c r="C23" s="6" t="s">
        <v>13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551"/>
      <c r="E25" s="551"/>
      <c r="F25" s="552"/>
      <c r="G25" s="552"/>
      <c r="H25" s="6"/>
      <c r="I25" s="6"/>
      <c r="J25" s="6"/>
      <c r="K25" s="6"/>
      <c r="L25" s="7"/>
    </row>
    <row r="26" spans="2:15" ht="21.75" customHeight="1">
      <c r="B26" s="5"/>
      <c r="C26" s="6" t="s">
        <v>349</v>
      </c>
      <c r="D26" s="551"/>
      <c r="E26" s="551"/>
      <c r="F26" s="552"/>
      <c r="G26" s="552"/>
      <c r="H26" s="6"/>
      <c r="I26" s="6"/>
      <c r="J26" s="6"/>
      <c r="K26" s="6"/>
      <c r="L26" s="7"/>
    </row>
    <row r="27" spans="2:15" ht="21.75" customHeight="1">
      <c r="B27" s="5"/>
      <c r="C27" s="6"/>
      <c r="D27" s="551"/>
      <c r="E27" s="551"/>
      <c r="F27" s="552"/>
      <c r="G27" s="552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J18:K18"/>
    <mergeCell ref="F27:G27"/>
    <mergeCell ref="F19:G19"/>
    <mergeCell ref="F25:G25"/>
    <mergeCell ref="J14:K14"/>
    <mergeCell ref="J15:K15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9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X99"/>
  <sheetViews>
    <sheetView view="pageBreakPreview" zoomScaleNormal="100" zoomScaleSheetLayoutView="100" workbookViewId="0">
      <selection activeCell="T51" sqref="T51"/>
    </sheetView>
  </sheetViews>
  <sheetFormatPr defaultColWidth="9" defaultRowHeight="16.5"/>
  <cols>
    <col min="1" max="2" width="7.125" style="198" customWidth="1"/>
    <col min="3" max="3" width="13.25" style="198" customWidth="1"/>
    <col min="4" max="4" width="13.125" style="229" customWidth="1"/>
    <col min="5" max="5" width="13.125" style="230" customWidth="1"/>
    <col min="6" max="6" width="0.125" style="230" hidden="1" customWidth="1"/>
    <col min="7" max="7" width="10.125" style="231" customWidth="1"/>
    <col min="8" max="8" width="8.125" style="232" customWidth="1"/>
    <col min="9" max="9" width="20.75" style="233" customWidth="1"/>
    <col min="10" max="10" width="12.5" style="233" customWidth="1"/>
    <col min="11" max="11" width="3.125" style="234" customWidth="1"/>
    <col min="12" max="12" width="2.625" style="234" customWidth="1"/>
    <col min="13" max="14" width="3.125" style="233" customWidth="1"/>
    <col min="15" max="15" width="2.625" style="233" customWidth="1"/>
    <col min="16" max="16" width="13.625" style="233" customWidth="1"/>
    <col min="17" max="17" width="2.5" style="233" customWidth="1"/>
    <col min="18" max="16384" width="9" style="85"/>
  </cols>
  <sheetData>
    <row r="1" spans="1:17" ht="22.5">
      <c r="A1" s="626" t="s">
        <v>380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</row>
    <row r="2" spans="1:17" ht="22.5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</row>
    <row r="3" spans="1:17" ht="21.95" customHeight="1">
      <c r="A3" s="560" t="s">
        <v>75</v>
      </c>
      <c r="B3" s="560"/>
      <c r="C3" s="87"/>
      <c r="D3" s="87"/>
      <c r="E3" s="88"/>
      <c r="F3" s="88"/>
      <c r="G3" s="89"/>
      <c r="H3" s="90"/>
      <c r="I3" s="87"/>
      <c r="J3" s="87" t="s">
        <v>349</v>
      </c>
      <c r="K3" s="87"/>
      <c r="L3" s="87"/>
      <c r="M3" s="87"/>
      <c r="N3" s="87"/>
      <c r="O3" s="616" t="s">
        <v>51</v>
      </c>
      <c r="P3" s="616"/>
      <c r="Q3" s="616"/>
    </row>
    <row r="4" spans="1:17" ht="19.5" customHeight="1">
      <c r="A4" s="627" t="s">
        <v>331</v>
      </c>
      <c r="B4" s="611" t="s">
        <v>327</v>
      </c>
      <c r="C4" s="635" t="s">
        <v>335</v>
      </c>
      <c r="D4" s="617" t="s">
        <v>526</v>
      </c>
      <c r="E4" s="617" t="s">
        <v>527</v>
      </c>
      <c r="F4" s="629" t="s">
        <v>32</v>
      </c>
      <c r="G4" s="637" t="s">
        <v>117</v>
      </c>
      <c r="H4" s="637"/>
      <c r="I4" s="610" t="s">
        <v>521</v>
      </c>
      <c r="J4" s="611"/>
      <c r="K4" s="611"/>
      <c r="L4" s="611"/>
      <c r="M4" s="611"/>
      <c r="N4" s="611"/>
      <c r="O4" s="611"/>
      <c r="P4" s="611"/>
      <c r="Q4" s="612"/>
    </row>
    <row r="5" spans="1:17" ht="19.5" customHeight="1">
      <c r="A5" s="628"/>
      <c r="B5" s="614"/>
      <c r="C5" s="636"/>
      <c r="D5" s="618"/>
      <c r="E5" s="618"/>
      <c r="F5" s="630"/>
      <c r="G5" s="91" t="s">
        <v>357</v>
      </c>
      <c r="H5" s="92" t="s">
        <v>202</v>
      </c>
      <c r="I5" s="613"/>
      <c r="J5" s="614"/>
      <c r="K5" s="614"/>
      <c r="L5" s="614"/>
      <c r="M5" s="614"/>
      <c r="N5" s="614"/>
      <c r="O5" s="614"/>
      <c r="P5" s="614"/>
      <c r="Q5" s="615"/>
    </row>
    <row r="6" spans="1:17" ht="20.100000000000001" customHeight="1">
      <c r="A6" s="598" t="s">
        <v>92</v>
      </c>
      <c r="B6" s="599"/>
      <c r="C6" s="600"/>
      <c r="D6" s="93">
        <f>SUM(D7,D62,D31,D78,D23,D27,D83)</f>
        <v>8574938</v>
      </c>
      <c r="E6" s="93">
        <f>SUM(E7,E62,E31,E78,E23,E27,E83)</f>
        <v>8671988.9238400012</v>
      </c>
      <c r="F6" s="94" t="e">
        <f>SUM(F7,#REF!,F62,F31,F78,F23,#REF!,#REF!,F27)</f>
        <v>#REF!</v>
      </c>
      <c r="G6" s="95">
        <f>+E6-D6</f>
        <v>97050.923840001225</v>
      </c>
      <c r="H6" s="96">
        <f>+G6/D6*100</f>
        <v>1.1317973825583489</v>
      </c>
      <c r="I6" s="97"/>
      <c r="J6" s="97"/>
      <c r="K6" s="98"/>
      <c r="L6" s="98"/>
      <c r="M6" s="97"/>
      <c r="N6" s="97"/>
      <c r="O6" s="97"/>
      <c r="P6" s="99">
        <f>SUM(P7,P23,P27,P31,P62,P78,P83)</f>
        <v>8671988923.8400002</v>
      </c>
      <c r="Q6" s="100" t="s">
        <v>318</v>
      </c>
    </row>
    <row r="7" spans="1:17" s="111" customFormat="1" ht="18.95" customHeight="1">
      <c r="A7" s="101" t="s">
        <v>317</v>
      </c>
      <c r="B7" s="624" t="s">
        <v>330</v>
      </c>
      <c r="C7" s="625"/>
      <c r="D7" s="102">
        <f>SUM(D8)</f>
        <v>86251</v>
      </c>
      <c r="E7" s="103">
        <f>SUM(E8)</f>
        <v>86251</v>
      </c>
      <c r="F7" s="104">
        <f>SUM(F8)</f>
        <v>71084</v>
      </c>
      <c r="G7" s="105">
        <f>+E7-D7</f>
        <v>0</v>
      </c>
      <c r="H7" s="106">
        <f>+G7/D7*100</f>
        <v>0</v>
      </c>
      <c r="I7" s="107"/>
      <c r="J7" s="107"/>
      <c r="K7" s="108"/>
      <c r="L7" s="108"/>
      <c r="M7" s="107"/>
      <c r="N7" s="107"/>
      <c r="O7" s="107"/>
      <c r="P7" s="109">
        <f>P8</f>
        <v>86251000</v>
      </c>
      <c r="Q7" s="110" t="s">
        <v>318</v>
      </c>
    </row>
    <row r="8" spans="1:17" s="111" customFormat="1" ht="17.100000000000001" customHeight="1">
      <c r="A8" s="101" t="s">
        <v>322</v>
      </c>
      <c r="B8" s="113" t="s">
        <v>351</v>
      </c>
      <c r="C8" s="528" t="s">
        <v>341</v>
      </c>
      <c r="D8" s="516">
        <f>SUM(D9:D22)</f>
        <v>86251</v>
      </c>
      <c r="E8" s="518">
        <f>SUM(E9:E22)</f>
        <v>86251</v>
      </c>
      <c r="F8" s="114">
        <f>SUM(F9:F20)</f>
        <v>71084</v>
      </c>
      <c r="G8" s="115">
        <f>+E8-D8</f>
        <v>0</v>
      </c>
      <c r="H8" s="535">
        <f>+G8/D8*100</f>
        <v>0</v>
      </c>
      <c r="I8" s="116"/>
      <c r="J8" s="116"/>
      <c r="K8" s="117"/>
      <c r="L8" s="117"/>
      <c r="M8" s="116"/>
      <c r="N8" s="116"/>
      <c r="O8" s="116"/>
      <c r="P8" s="118">
        <f>SUM(P9,P17,P21)</f>
        <v>86251000</v>
      </c>
      <c r="Q8" s="53" t="s">
        <v>318</v>
      </c>
    </row>
    <row r="9" spans="1:17" s="111" customFormat="1" ht="17.100000000000001" customHeight="1">
      <c r="A9" s="119"/>
      <c r="B9" s="120" t="s">
        <v>77</v>
      </c>
      <c r="C9" s="583" t="s">
        <v>184</v>
      </c>
      <c r="D9" s="568">
        <v>60940</v>
      </c>
      <c r="E9" s="571">
        <f>+P9/1000</f>
        <v>60940</v>
      </c>
      <c r="F9" s="121">
        <v>0</v>
      </c>
      <c r="G9" s="632">
        <f>+E9-D9</f>
        <v>0</v>
      </c>
      <c r="H9" s="607">
        <f>+G9/D9*100</f>
        <v>0</v>
      </c>
      <c r="I9" s="122"/>
      <c r="J9" s="123"/>
      <c r="K9" s="524"/>
      <c r="L9" s="524"/>
      <c r="M9" s="564" t="s">
        <v>355</v>
      </c>
      <c r="N9" s="564"/>
      <c r="O9" s="564"/>
      <c r="P9" s="123">
        <f>SUM(P10:P16)</f>
        <v>60940000</v>
      </c>
      <c r="Q9" s="53" t="s">
        <v>318</v>
      </c>
    </row>
    <row r="10" spans="1:17" s="111" customFormat="1" ht="17.100000000000001" customHeight="1">
      <c r="A10" s="119"/>
      <c r="B10" s="540"/>
      <c r="C10" s="584"/>
      <c r="D10" s="569"/>
      <c r="E10" s="572"/>
      <c r="F10" s="124"/>
      <c r="G10" s="634"/>
      <c r="H10" s="608"/>
      <c r="I10" s="125" t="s">
        <v>19</v>
      </c>
      <c r="J10" s="126">
        <v>700000</v>
      </c>
      <c r="K10" s="542" t="s">
        <v>318</v>
      </c>
      <c r="L10" s="78" t="s">
        <v>334</v>
      </c>
      <c r="M10" s="542">
        <v>12</v>
      </c>
      <c r="N10" s="542" t="s">
        <v>333</v>
      </c>
      <c r="O10" s="542" t="s">
        <v>336</v>
      </c>
      <c r="P10" s="65">
        <f t="shared" ref="P10:P16" si="0">SUM(J10*M10)</f>
        <v>8400000</v>
      </c>
      <c r="Q10" s="66" t="s">
        <v>318</v>
      </c>
    </row>
    <row r="11" spans="1:17" s="111" customFormat="1" ht="17.100000000000001" customHeight="1">
      <c r="A11" s="119"/>
      <c r="B11" s="540"/>
      <c r="C11" s="584"/>
      <c r="D11" s="569"/>
      <c r="E11" s="572"/>
      <c r="F11" s="127"/>
      <c r="G11" s="634"/>
      <c r="H11" s="608"/>
      <c r="I11" s="128" t="s">
        <v>413</v>
      </c>
      <c r="J11" s="126">
        <v>420000</v>
      </c>
      <c r="K11" s="542" t="s">
        <v>318</v>
      </c>
      <c r="L11" s="78" t="s">
        <v>334</v>
      </c>
      <c r="M11" s="542">
        <v>12</v>
      </c>
      <c r="N11" s="542" t="s">
        <v>333</v>
      </c>
      <c r="O11" s="542" t="s">
        <v>336</v>
      </c>
      <c r="P11" s="65">
        <f t="shared" si="0"/>
        <v>5040000</v>
      </c>
      <c r="Q11" s="66" t="s">
        <v>318</v>
      </c>
    </row>
    <row r="12" spans="1:17" s="111" customFormat="1" ht="17.100000000000001" customHeight="1">
      <c r="A12" s="119"/>
      <c r="B12" s="540"/>
      <c r="C12" s="584"/>
      <c r="D12" s="569"/>
      <c r="E12" s="572"/>
      <c r="F12" s="124"/>
      <c r="G12" s="634"/>
      <c r="H12" s="608"/>
      <c r="I12" s="128" t="s">
        <v>278</v>
      </c>
      <c r="J12" s="126">
        <v>500000</v>
      </c>
      <c r="K12" s="542" t="s">
        <v>318</v>
      </c>
      <c r="L12" s="78" t="s">
        <v>334</v>
      </c>
      <c r="M12" s="542">
        <v>8</v>
      </c>
      <c r="N12" s="542" t="s">
        <v>333</v>
      </c>
      <c r="O12" s="542" t="s">
        <v>336</v>
      </c>
      <c r="P12" s="65">
        <f t="shared" si="0"/>
        <v>4000000</v>
      </c>
      <c r="Q12" s="66" t="s">
        <v>318</v>
      </c>
    </row>
    <row r="13" spans="1:17" s="111" customFormat="1" ht="17.100000000000001" customHeight="1">
      <c r="A13" s="119"/>
      <c r="B13" s="540"/>
      <c r="C13" s="584"/>
      <c r="D13" s="569"/>
      <c r="E13" s="572"/>
      <c r="F13" s="124"/>
      <c r="G13" s="634"/>
      <c r="H13" s="608"/>
      <c r="I13" s="128" t="s">
        <v>447</v>
      </c>
      <c r="J13" s="126">
        <v>2100000</v>
      </c>
      <c r="K13" s="542" t="s">
        <v>318</v>
      </c>
      <c r="L13" s="78" t="s">
        <v>334</v>
      </c>
      <c r="M13" s="542">
        <v>12</v>
      </c>
      <c r="N13" s="542" t="s">
        <v>333</v>
      </c>
      <c r="O13" s="542" t="s">
        <v>336</v>
      </c>
      <c r="P13" s="65">
        <f t="shared" si="0"/>
        <v>25200000</v>
      </c>
      <c r="Q13" s="66" t="s">
        <v>318</v>
      </c>
    </row>
    <row r="14" spans="1:17" s="111" customFormat="1" ht="17.100000000000001" customHeight="1">
      <c r="A14" s="119"/>
      <c r="B14" s="540"/>
      <c r="C14" s="584"/>
      <c r="D14" s="569"/>
      <c r="E14" s="572"/>
      <c r="F14" s="124"/>
      <c r="G14" s="634"/>
      <c r="H14" s="608"/>
      <c r="I14" s="128" t="s">
        <v>52</v>
      </c>
      <c r="J14" s="126">
        <v>1300000</v>
      </c>
      <c r="K14" s="542" t="s">
        <v>318</v>
      </c>
      <c r="L14" s="78" t="s">
        <v>334</v>
      </c>
      <c r="M14" s="542">
        <v>12</v>
      </c>
      <c r="N14" s="542" t="s">
        <v>333</v>
      </c>
      <c r="O14" s="542" t="s">
        <v>336</v>
      </c>
      <c r="P14" s="65">
        <f t="shared" si="0"/>
        <v>15600000</v>
      </c>
      <c r="Q14" s="66" t="s">
        <v>318</v>
      </c>
    </row>
    <row r="15" spans="1:17" s="111" customFormat="1" ht="17.100000000000001" customHeight="1">
      <c r="A15" s="119"/>
      <c r="B15" s="540"/>
      <c r="C15" s="584"/>
      <c r="D15" s="569"/>
      <c r="E15" s="572"/>
      <c r="F15" s="124"/>
      <c r="G15" s="634"/>
      <c r="H15" s="608"/>
      <c r="I15" s="128" t="s">
        <v>455</v>
      </c>
      <c r="J15" s="126">
        <v>100000</v>
      </c>
      <c r="K15" s="542" t="s">
        <v>318</v>
      </c>
      <c r="L15" s="78" t="s">
        <v>334</v>
      </c>
      <c r="M15" s="542">
        <v>12</v>
      </c>
      <c r="N15" s="542" t="s">
        <v>333</v>
      </c>
      <c r="O15" s="542" t="s">
        <v>336</v>
      </c>
      <c r="P15" s="65">
        <f>SUM(J15*M15)</f>
        <v>1200000</v>
      </c>
      <c r="Q15" s="66" t="s">
        <v>318</v>
      </c>
    </row>
    <row r="16" spans="1:17" s="111" customFormat="1" ht="17.100000000000001" customHeight="1">
      <c r="A16" s="119"/>
      <c r="B16" s="540"/>
      <c r="C16" s="585"/>
      <c r="D16" s="570"/>
      <c r="E16" s="573"/>
      <c r="F16" s="124"/>
      <c r="G16" s="633"/>
      <c r="H16" s="609"/>
      <c r="I16" s="128" t="s">
        <v>394</v>
      </c>
      <c r="J16" s="129">
        <v>750000</v>
      </c>
      <c r="K16" s="542" t="s">
        <v>318</v>
      </c>
      <c r="L16" s="78" t="s">
        <v>334</v>
      </c>
      <c r="M16" s="542">
        <v>2</v>
      </c>
      <c r="N16" s="542" t="s">
        <v>332</v>
      </c>
      <c r="O16" s="542" t="s">
        <v>336</v>
      </c>
      <c r="P16" s="65">
        <f t="shared" si="0"/>
        <v>1500000</v>
      </c>
      <c r="Q16" s="66" t="s">
        <v>318</v>
      </c>
    </row>
    <row r="17" spans="1:17" s="111" customFormat="1" ht="17.100000000000001" customHeight="1">
      <c r="A17" s="119"/>
      <c r="B17" s="540"/>
      <c r="C17" s="565" t="s">
        <v>480</v>
      </c>
      <c r="D17" s="568">
        <v>25101</v>
      </c>
      <c r="E17" s="571">
        <f>+P17/1000</f>
        <v>25101</v>
      </c>
      <c r="F17" s="574">
        <v>71084</v>
      </c>
      <c r="G17" s="561">
        <f>+E17-D17</f>
        <v>0</v>
      </c>
      <c r="H17" s="557">
        <f>+G17/D17*100</f>
        <v>0</v>
      </c>
      <c r="I17" s="122"/>
      <c r="J17" s="123"/>
      <c r="K17" s="524"/>
      <c r="L17" s="524"/>
      <c r="M17" s="564" t="s">
        <v>355</v>
      </c>
      <c r="N17" s="564"/>
      <c r="O17" s="564"/>
      <c r="P17" s="123">
        <f>SUM(P18:P20)</f>
        <v>25101000</v>
      </c>
      <c r="Q17" s="53" t="s">
        <v>318</v>
      </c>
    </row>
    <row r="18" spans="1:17" s="111" customFormat="1" ht="17.100000000000001" customHeight="1">
      <c r="A18" s="119"/>
      <c r="B18" s="540"/>
      <c r="C18" s="566"/>
      <c r="D18" s="569"/>
      <c r="E18" s="572"/>
      <c r="F18" s="575"/>
      <c r="G18" s="562"/>
      <c r="H18" s="558"/>
      <c r="I18" s="128" t="s">
        <v>386</v>
      </c>
      <c r="J18" s="65">
        <v>4700000</v>
      </c>
      <c r="K18" s="542" t="s">
        <v>318</v>
      </c>
      <c r="L18" s="78" t="s">
        <v>334</v>
      </c>
      <c r="M18" s="542">
        <v>1</v>
      </c>
      <c r="N18" s="542" t="s">
        <v>332</v>
      </c>
      <c r="O18" s="64" t="s">
        <v>336</v>
      </c>
      <c r="P18" s="65">
        <f>J18*M18</f>
        <v>4700000</v>
      </c>
      <c r="Q18" s="66" t="s">
        <v>318</v>
      </c>
    </row>
    <row r="19" spans="1:17" s="111" customFormat="1" ht="17.100000000000001" customHeight="1">
      <c r="A19" s="119"/>
      <c r="B19" s="540"/>
      <c r="C19" s="566"/>
      <c r="D19" s="569"/>
      <c r="E19" s="572"/>
      <c r="F19" s="575"/>
      <c r="G19" s="562"/>
      <c r="H19" s="558"/>
      <c r="I19" s="125" t="s">
        <v>395</v>
      </c>
      <c r="J19" s="65">
        <v>1774200</v>
      </c>
      <c r="K19" s="542" t="s">
        <v>318</v>
      </c>
      <c r="L19" s="78" t="s">
        <v>334</v>
      </c>
      <c r="M19" s="542">
        <v>5</v>
      </c>
      <c r="N19" s="542" t="s">
        <v>332</v>
      </c>
      <c r="O19" s="64" t="s">
        <v>336</v>
      </c>
      <c r="P19" s="65">
        <f>J19*M19</f>
        <v>8871000</v>
      </c>
      <c r="Q19" s="66" t="s">
        <v>318</v>
      </c>
    </row>
    <row r="20" spans="1:17" s="111" customFormat="1" ht="17.100000000000001" customHeight="1">
      <c r="A20" s="119"/>
      <c r="B20" s="540"/>
      <c r="C20" s="566"/>
      <c r="D20" s="569"/>
      <c r="E20" s="572"/>
      <c r="F20" s="575"/>
      <c r="G20" s="562"/>
      <c r="H20" s="558"/>
      <c r="I20" s="128" t="s">
        <v>406</v>
      </c>
      <c r="J20" s="65">
        <v>2882500</v>
      </c>
      <c r="K20" s="542" t="s">
        <v>318</v>
      </c>
      <c r="L20" s="78" t="s">
        <v>334</v>
      </c>
      <c r="M20" s="542">
        <v>4</v>
      </c>
      <c r="N20" s="542" t="s">
        <v>332</v>
      </c>
      <c r="O20" s="64" t="s">
        <v>336</v>
      </c>
      <c r="P20" s="65">
        <f>J20*M20</f>
        <v>11530000</v>
      </c>
      <c r="Q20" s="66" t="s">
        <v>318</v>
      </c>
    </row>
    <row r="21" spans="1:17" s="111" customFormat="1" ht="17.100000000000001" customHeight="1">
      <c r="A21" s="119"/>
      <c r="B21" s="540"/>
      <c r="C21" s="583" t="s">
        <v>180</v>
      </c>
      <c r="D21" s="568">
        <v>210</v>
      </c>
      <c r="E21" s="632">
        <f>(P21/1000)</f>
        <v>210</v>
      </c>
      <c r="F21" s="127"/>
      <c r="G21" s="561">
        <f>E21-D21</f>
        <v>0</v>
      </c>
      <c r="H21" s="557">
        <v>0</v>
      </c>
      <c r="I21" s="122"/>
      <c r="J21" s="123"/>
      <c r="K21" s="524"/>
      <c r="L21" s="68"/>
      <c r="M21" s="564" t="s">
        <v>355</v>
      </c>
      <c r="N21" s="564"/>
      <c r="O21" s="564"/>
      <c r="P21" s="57">
        <f>SUM(P22:P22)</f>
        <v>210000</v>
      </c>
      <c r="Q21" s="53" t="s">
        <v>318</v>
      </c>
    </row>
    <row r="22" spans="1:17" s="111" customFormat="1" ht="17.100000000000001" customHeight="1">
      <c r="A22" s="119"/>
      <c r="B22" s="540"/>
      <c r="C22" s="584"/>
      <c r="D22" s="569"/>
      <c r="E22" s="633"/>
      <c r="F22" s="127"/>
      <c r="G22" s="562"/>
      <c r="H22" s="558"/>
      <c r="I22" s="128" t="s">
        <v>410</v>
      </c>
      <c r="J22" s="130">
        <v>210000</v>
      </c>
      <c r="K22" s="542" t="s">
        <v>318</v>
      </c>
      <c r="L22" s="78" t="s">
        <v>334</v>
      </c>
      <c r="M22" s="542">
        <v>1</v>
      </c>
      <c r="N22" s="542" t="s">
        <v>332</v>
      </c>
      <c r="O22" s="64" t="s">
        <v>342</v>
      </c>
      <c r="P22" s="65">
        <f>J22*M22</f>
        <v>210000</v>
      </c>
      <c r="Q22" s="66" t="s">
        <v>318</v>
      </c>
    </row>
    <row r="23" spans="1:17" s="111" customFormat="1" ht="18.95" customHeight="1">
      <c r="A23" s="131" t="s">
        <v>207</v>
      </c>
      <c r="B23" s="586" t="s">
        <v>330</v>
      </c>
      <c r="C23" s="587"/>
      <c r="D23" s="132">
        <f>SUM(D24)</f>
        <v>940</v>
      </c>
      <c r="E23" s="133">
        <f>SUM(E24)</f>
        <v>940</v>
      </c>
      <c r="F23" s="134">
        <f>SUM(F24)</f>
        <v>12766566</v>
      </c>
      <c r="G23" s="135">
        <f>+E23-D23</f>
        <v>0</v>
      </c>
      <c r="H23" s="136">
        <f>+G23/D23*100</f>
        <v>0</v>
      </c>
      <c r="I23" s="137"/>
      <c r="J23" s="137"/>
      <c r="K23" s="534"/>
      <c r="L23" s="534"/>
      <c r="M23" s="137"/>
      <c r="N23" s="137"/>
      <c r="O23" s="137"/>
      <c r="P23" s="138">
        <f>P24</f>
        <v>940000</v>
      </c>
      <c r="Q23" s="139" t="s">
        <v>318</v>
      </c>
    </row>
    <row r="24" spans="1:17" s="111" customFormat="1" ht="17.100000000000001" customHeight="1">
      <c r="A24" s="119"/>
      <c r="B24" s="120" t="s">
        <v>207</v>
      </c>
      <c r="C24" s="529" t="s">
        <v>341</v>
      </c>
      <c r="D24" s="517">
        <f>SUM(D25)</f>
        <v>940</v>
      </c>
      <c r="E24" s="140">
        <f>SUM(E25)</f>
        <v>940</v>
      </c>
      <c r="F24" s="141">
        <f>SUM(F25:F90)</f>
        <v>12766566</v>
      </c>
      <c r="G24" s="537">
        <f>+E24-D24</f>
        <v>0</v>
      </c>
      <c r="H24" s="535">
        <f>+G24/D24*100</f>
        <v>0</v>
      </c>
      <c r="I24" s="77"/>
      <c r="J24" s="77"/>
      <c r="K24" s="542"/>
      <c r="L24" s="542"/>
      <c r="M24" s="77"/>
      <c r="N24" s="77"/>
      <c r="O24" s="77"/>
      <c r="P24" s="142">
        <f>P25</f>
        <v>940000</v>
      </c>
      <c r="Q24" s="66" t="s">
        <v>318</v>
      </c>
    </row>
    <row r="25" spans="1:17" s="111" customFormat="1" ht="17.100000000000001" customHeight="1">
      <c r="A25" s="119"/>
      <c r="B25" s="540"/>
      <c r="C25" s="528" t="s">
        <v>157</v>
      </c>
      <c r="D25" s="516">
        <v>940</v>
      </c>
      <c r="E25" s="518">
        <f>P24/1000</f>
        <v>940</v>
      </c>
      <c r="F25" s="574">
        <v>10450</v>
      </c>
      <c r="G25" s="525">
        <f>+E25-D25</f>
        <v>0</v>
      </c>
      <c r="H25" s="526">
        <f>+G25/D25*100</f>
        <v>0</v>
      </c>
      <c r="I25" s="622"/>
      <c r="J25" s="623"/>
      <c r="K25" s="524"/>
      <c r="L25" s="524"/>
      <c r="M25" s="631" t="s">
        <v>355</v>
      </c>
      <c r="N25" s="631"/>
      <c r="O25" s="631"/>
      <c r="P25" s="52">
        <f>SUM(P26:P26)</f>
        <v>940000</v>
      </c>
      <c r="Q25" s="53" t="s">
        <v>318</v>
      </c>
    </row>
    <row r="26" spans="1:17" s="111" customFormat="1" ht="17.100000000000001" customHeight="1">
      <c r="A26" s="144"/>
      <c r="B26" s="145"/>
      <c r="C26" s="531"/>
      <c r="D26" s="48"/>
      <c r="E26" s="49"/>
      <c r="F26" s="576"/>
      <c r="G26" s="50"/>
      <c r="H26" s="51"/>
      <c r="I26" s="146" t="s">
        <v>404</v>
      </c>
      <c r="J26" s="147">
        <v>20000</v>
      </c>
      <c r="K26" s="148" t="s">
        <v>318</v>
      </c>
      <c r="L26" s="149" t="s">
        <v>334</v>
      </c>
      <c r="M26" s="148">
        <v>47</v>
      </c>
      <c r="N26" s="148" t="s">
        <v>353</v>
      </c>
      <c r="O26" s="150" t="s">
        <v>336</v>
      </c>
      <c r="P26" s="147">
        <f t="shared" ref="P26" si="1">J26*M26</f>
        <v>940000</v>
      </c>
      <c r="Q26" s="151" t="s">
        <v>318</v>
      </c>
    </row>
    <row r="27" spans="1:17" s="111" customFormat="1" ht="18.95" customHeight="1">
      <c r="A27" s="131" t="s">
        <v>146</v>
      </c>
      <c r="B27" s="586" t="s">
        <v>330</v>
      </c>
      <c r="C27" s="587"/>
      <c r="D27" s="132">
        <f t="shared" ref="D27:F28" si="2">SUM(D28)</f>
        <v>140000</v>
      </c>
      <c r="E27" s="133">
        <f t="shared" si="2"/>
        <v>140000</v>
      </c>
      <c r="F27" s="152">
        <f t="shared" si="2"/>
        <v>56700</v>
      </c>
      <c r="G27" s="135">
        <f t="shared" ref="G27:G29" si="3">+E27-D27</f>
        <v>0</v>
      </c>
      <c r="H27" s="136">
        <f>+G27/D27*100</f>
        <v>0</v>
      </c>
      <c r="I27" s="153"/>
      <c r="J27" s="153"/>
      <c r="K27" s="154"/>
      <c r="L27" s="154"/>
      <c r="M27" s="153"/>
      <c r="N27" s="153"/>
      <c r="O27" s="153"/>
      <c r="P27" s="138">
        <f>P28</f>
        <v>140000000</v>
      </c>
      <c r="Q27" s="139" t="s">
        <v>318</v>
      </c>
    </row>
    <row r="28" spans="1:17" s="111" customFormat="1" ht="17.100000000000001" customHeight="1">
      <c r="A28" s="119"/>
      <c r="B28" s="120" t="s">
        <v>146</v>
      </c>
      <c r="C28" s="530" t="s">
        <v>341</v>
      </c>
      <c r="D28" s="155">
        <f>D29</f>
        <v>140000</v>
      </c>
      <c r="E28" s="156">
        <f t="shared" si="2"/>
        <v>140000</v>
      </c>
      <c r="F28" s="157">
        <f t="shared" si="2"/>
        <v>56700</v>
      </c>
      <c r="G28" s="115">
        <f t="shared" si="3"/>
        <v>0</v>
      </c>
      <c r="H28" s="535">
        <f>+G28/D28*100</f>
        <v>0</v>
      </c>
      <c r="I28" s="158"/>
      <c r="J28" s="137"/>
      <c r="K28" s="534"/>
      <c r="L28" s="534"/>
      <c r="M28" s="137"/>
      <c r="N28" s="137"/>
      <c r="O28" s="137"/>
      <c r="P28" s="159">
        <f>SUM(P29)</f>
        <v>140000000</v>
      </c>
      <c r="Q28" s="160" t="s">
        <v>318</v>
      </c>
    </row>
    <row r="29" spans="1:17" s="111" customFormat="1" ht="17.100000000000001" customHeight="1">
      <c r="A29" s="119"/>
      <c r="B29" s="529"/>
      <c r="C29" s="583" t="s">
        <v>167</v>
      </c>
      <c r="D29" s="568">
        <v>140000</v>
      </c>
      <c r="E29" s="571">
        <f>+P29/1000</f>
        <v>140000</v>
      </c>
      <c r="F29" s="574">
        <v>56700</v>
      </c>
      <c r="G29" s="632">
        <f t="shared" si="3"/>
        <v>0</v>
      </c>
      <c r="H29" s="580">
        <f>+G29/D29*100</f>
        <v>0</v>
      </c>
      <c r="I29" s="161"/>
      <c r="J29" s="77"/>
      <c r="K29" s="542"/>
      <c r="L29" s="542"/>
      <c r="M29" s="77" t="s">
        <v>355</v>
      </c>
      <c r="N29" s="77"/>
      <c r="O29" s="77"/>
      <c r="P29" s="142">
        <f>SUM(P30:P30)</f>
        <v>140000000</v>
      </c>
      <c r="Q29" s="66" t="s">
        <v>318</v>
      </c>
    </row>
    <row r="30" spans="1:17" s="111" customFormat="1" ht="17.100000000000001" customHeight="1">
      <c r="A30" s="119"/>
      <c r="B30" s="529"/>
      <c r="C30" s="584"/>
      <c r="D30" s="569"/>
      <c r="E30" s="572"/>
      <c r="F30" s="575"/>
      <c r="G30" s="634"/>
      <c r="H30" s="581"/>
      <c r="I30" s="128" t="s">
        <v>297</v>
      </c>
      <c r="J30" s="130">
        <v>140000000</v>
      </c>
      <c r="K30" s="542" t="s">
        <v>318</v>
      </c>
      <c r="L30" s="78" t="s">
        <v>334</v>
      </c>
      <c r="M30" s="542">
        <v>1</v>
      </c>
      <c r="N30" s="542" t="s">
        <v>332</v>
      </c>
      <c r="O30" s="542" t="s">
        <v>336</v>
      </c>
      <c r="P30" s="130">
        <f>+M30*J30</f>
        <v>140000000</v>
      </c>
      <c r="Q30" s="66" t="s">
        <v>318</v>
      </c>
    </row>
    <row r="31" spans="1:17" s="111" customFormat="1" ht="18.95" customHeight="1">
      <c r="A31" s="162" t="s">
        <v>325</v>
      </c>
      <c r="B31" s="587" t="s">
        <v>330</v>
      </c>
      <c r="C31" s="604"/>
      <c r="D31" s="132">
        <f>+D32+D49</f>
        <v>1380101</v>
      </c>
      <c r="E31" s="133">
        <f>+E32+E49</f>
        <v>1468212.79</v>
      </c>
      <c r="F31" s="134">
        <f>+F32+F49</f>
        <v>1336159</v>
      </c>
      <c r="G31" s="135">
        <f>E31-D31</f>
        <v>88111.790000000037</v>
      </c>
      <c r="H31" s="136">
        <f>+G31/D31*100</f>
        <v>6.3844450514853657</v>
      </c>
      <c r="I31" s="163"/>
      <c r="J31" s="163"/>
      <c r="K31" s="164"/>
      <c r="L31" s="165"/>
      <c r="M31" s="163"/>
      <c r="N31" s="163"/>
      <c r="O31" s="163"/>
      <c r="P31" s="166">
        <f>SUM(P32,P49)</f>
        <v>1468212790</v>
      </c>
      <c r="Q31" s="167" t="s">
        <v>318</v>
      </c>
    </row>
    <row r="32" spans="1:17" s="111" customFormat="1" ht="17.100000000000001" customHeight="1">
      <c r="A32" s="119"/>
      <c r="B32" s="532" t="s">
        <v>345</v>
      </c>
      <c r="C32" s="529" t="s">
        <v>341</v>
      </c>
      <c r="D32" s="517">
        <f>SUM(D33:D45)</f>
        <v>754178</v>
      </c>
      <c r="E32" s="519">
        <f>SUM(E33:E48)</f>
        <v>904178</v>
      </c>
      <c r="F32" s="523">
        <f>SUM(F33:F45)</f>
        <v>711605</v>
      </c>
      <c r="G32" s="115">
        <f>E32-D32</f>
        <v>150000</v>
      </c>
      <c r="H32" s="535">
        <f>+G32/D32*100</f>
        <v>19.889203874947295</v>
      </c>
      <c r="I32" s="60"/>
      <c r="J32" s="60"/>
      <c r="K32" s="168"/>
      <c r="L32" s="62"/>
      <c r="M32" s="60"/>
      <c r="N32" s="60"/>
      <c r="O32" s="60"/>
      <c r="P32" s="169">
        <f>SUM(P33,P35,P40,P44)</f>
        <v>904178000</v>
      </c>
      <c r="Q32" s="80" t="s">
        <v>318</v>
      </c>
    </row>
    <row r="33" spans="1:17" s="111" customFormat="1" ht="17.100000000000001" customHeight="1">
      <c r="A33" s="119"/>
      <c r="B33" s="532" t="s">
        <v>325</v>
      </c>
      <c r="C33" s="565" t="s">
        <v>313</v>
      </c>
      <c r="D33" s="568">
        <v>357650</v>
      </c>
      <c r="E33" s="571">
        <f>P33/1000</f>
        <v>357650</v>
      </c>
      <c r="F33" s="574">
        <v>480000</v>
      </c>
      <c r="G33" s="561">
        <f>+E33-D33</f>
        <v>0</v>
      </c>
      <c r="H33" s="557">
        <f>+G33/D33*100</f>
        <v>0</v>
      </c>
      <c r="I33" s="170"/>
      <c r="J33" s="171"/>
      <c r="K33" s="172"/>
      <c r="L33" s="539"/>
      <c r="M33" s="539" t="s">
        <v>355</v>
      </c>
      <c r="N33" s="539"/>
      <c r="O33" s="539"/>
      <c r="P33" s="171">
        <f>SUM(P34:P34)</f>
        <v>357650000</v>
      </c>
      <c r="Q33" s="82" t="s">
        <v>318</v>
      </c>
    </row>
    <row r="34" spans="1:17" s="111" customFormat="1" ht="17.100000000000001" customHeight="1">
      <c r="A34" s="119"/>
      <c r="B34" s="540"/>
      <c r="C34" s="584"/>
      <c r="D34" s="569"/>
      <c r="E34" s="572"/>
      <c r="F34" s="576"/>
      <c r="G34" s="562"/>
      <c r="H34" s="558"/>
      <c r="I34" s="173" t="s">
        <v>122</v>
      </c>
      <c r="J34" s="174">
        <v>178825000</v>
      </c>
      <c r="K34" s="62" t="s">
        <v>318</v>
      </c>
      <c r="L34" s="61" t="s">
        <v>334</v>
      </c>
      <c r="M34" s="62">
        <v>2</v>
      </c>
      <c r="N34" s="62" t="s">
        <v>332</v>
      </c>
      <c r="O34" s="79" t="s">
        <v>336</v>
      </c>
      <c r="P34" s="59">
        <f>SUM(J34*M34)</f>
        <v>357650000</v>
      </c>
      <c r="Q34" s="80" t="s">
        <v>318</v>
      </c>
    </row>
    <row r="35" spans="1:17" s="111" customFormat="1" ht="17.100000000000001" customHeight="1">
      <c r="A35" s="119"/>
      <c r="B35" s="540"/>
      <c r="C35" s="565" t="s">
        <v>307</v>
      </c>
      <c r="D35" s="568">
        <v>52392</v>
      </c>
      <c r="E35" s="571">
        <f>P35/1000</f>
        <v>52392</v>
      </c>
      <c r="F35" s="574">
        <v>79390</v>
      </c>
      <c r="G35" s="561">
        <f>+E35-D35</f>
        <v>0</v>
      </c>
      <c r="H35" s="557">
        <f>+G35/D35*100</f>
        <v>0</v>
      </c>
      <c r="I35" s="175"/>
      <c r="J35" s="123"/>
      <c r="K35" s="524"/>
      <c r="L35" s="524"/>
      <c r="M35" s="564" t="s">
        <v>355</v>
      </c>
      <c r="N35" s="564"/>
      <c r="O35" s="564"/>
      <c r="P35" s="123">
        <f>SUM(P36:P39)</f>
        <v>52392000</v>
      </c>
      <c r="Q35" s="53" t="s">
        <v>318</v>
      </c>
    </row>
    <row r="36" spans="1:17" s="111" customFormat="1" ht="17.100000000000001" customHeight="1">
      <c r="A36" s="119"/>
      <c r="B36" s="540"/>
      <c r="C36" s="584"/>
      <c r="D36" s="569"/>
      <c r="E36" s="572"/>
      <c r="F36" s="575"/>
      <c r="G36" s="562"/>
      <c r="H36" s="558"/>
      <c r="I36" s="176" t="s">
        <v>275</v>
      </c>
      <c r="J36" s="177">
        <v>3000000</v>
      </c>
      <c r="K36" s="178" t="s">
        <v>318</v>
      </c>
      <c r="L36" s="179" t="s">
        <v>334</v>
      </c>
      <c r="M36" s="178">
        <v>12</v>
      </c>
      <c r="N36" s="178" t="s">
        <v>333</v>
      </c>
      <c r="O36" s="180" t="s">
        <v>336</v>
      </c>
      <c r="P36" s="177">
        <f>SUM(J36*M36)</f>
        <v>36000000</v>
      </c>
      <c r="Q36" s="181" t="s">
        <v>318</v>
      </c>
    </row>
    <row r="37" spans="1:17" s="111" customFormat="1" ht="17.100000000000001" customHeight="1">
      <c r="A37" s="119"/>
      <c r="B37" s="540"/>
      <c r="C37" s="584"/>
      <c r="D37" s="569"/>
      <c r="E37" s="572"/>
      <c r="F37" s="523"/>
      <c r="G37" s="562"/>
      <c r="H37" s="558"/>
      <c r="I37" s="143" t="s">
        <v>390</v>
      </c>
      <c r="J37" s="59">
        <v>746000</v>
      </c>
      <c r="K37" s="62" t="s">
        <v>318</v>
      </c>
      <c r="L37" s="61" t="s">
        <v>334</v>
      </c>
      <c r="M37" s="62">
        <v>12</v>
      </c>
      <c r="N37" s="62" t="s">
        <v>333</v>
      </c>
      <c r="O37" s="79" t="s">
        <v>336</v>
      </c>
      <c r="P37" s="59">
        <f>SUM(J37*M37)</f>
        <v>8952000</v>
      </c>
      <c r="Q37" s="80" t="s">
        <v>318</v>
      </c>
    </row>
    <row r="38" spans="1:17" s="111" customFormat="1" ht="17.100000000000001" customHeight="1">
      <c r="A38" s="119"/>
      <c r="B38" s="540"/>
      <c r="C38" s="584"/>
      <c r="D38" s="569"/>
      <c r="E38" s="572"/>
      <c r="F38" s="523"/>
      <c r="G38" s="562"/>
      <c r="H38" s="558"/>
      <c r="I38" s="173" t="s">
        <v>436</v>
      </c>
      <c r="J38" s="59">
        <v>600000</v>
      </c>
      <c r="K38" s="62" t="s">
        <v>318</v>
      </c>
      <c r="L38" s="61" t="s">
        <v>334</v>
      </c>
      <c r="M38" s="62">
        <v>12</v>
      </c>
      <c r="N38" s="62" t="s">
        <v>513</v>
      </c>
      <c r="O38" s="79" t="s">
        <v>336</v>
      </c>
      <c r="P38" s="59">
        <f>SUM(J38*M38)</f>
        <v>7200000</v>
      </c>
      <c r="Q38" s="80" t="s">
        <v>318</v>
      </c>
    </row>
    <row r="39" spans="1:17" s="111" customFormat="1" ht="17.100000000000001" customHeight="1">
      <c r="A39" s="119"/>
      <c r="B39" s="540"/>
      <c r="C39" s="585"/>
      <c r="D39" s="570"/>
      <c r="E39" s="573"/>
      <c r="F39" s="521"/>
      <c r="G39" s="563"/>
      <c r="H39" s="559"/>
      <c r="I39" s="146" t="s">
        <v>392</v>
      </c>
      <c r="J39" s="147">
        <v>20000</v>
      </c>
      <c r="K39" s="148" t="s">
        <v>318</v>
      </c>
      <c r="L39" s="149" t="s">
        <v>334</v>
      </c>
      <c r="M39" s="148">
        <v>12</v>
      </c>
      <c r="N39" s="148" t="s">
        <v>332</v>
      </c>
      <c r="O39" s="150" t="s">
        <v>336</v>
      </c>
      <c r="P39" s="147">
        <f>SUM(J39*M39)</f>
        <v>240000</v>
      </c>
      <c r="Q39" s="151" t="s">
        <v>318</v>
      </c>
    </row>
    <row r="40" spans="1:17" s="111" customFormat="1" ht="17.100000000000001" customHeight="1">
      <c r="A40" s="119"/>
      <c r="B40" s="540"/>
      <c r="C40" s="592" t="s">
        <v>114</v>
      </c>
      <c r="D40" s="568">
        <v>170000</v>
      </c>
      <c r="E40" s="595">
        <f>+P40/1000</f>
        <v>320000</v>
      </c>
      <c r="F40" s="574">
        <v>90435</v>
      </c>
      <c r="G40" s="554">
        <f>+E40-D40</f>
        <v>150000</v>
      </c>
      <c r="H40" s="557">
        <f>+G40/D40*100</f>
        <v>88.235294117647058</v>
      </c>
      <c r="I40" s="170"/>
      <c r="J40" s="54"/>
      <c r="K40" s="539"/>
      <c r="L40" s="539"/>
      <c r="M40" s="577" t="s">
        <v>355</v>
      </c>
      <c r="N40" s="577"/>
      <c r="O40" s="577"/>
      <c r="P40" s="54">
        <f>SUM(P41:P43)</f>
        <v>320000000</v>
      </c>
      <c r="Q40" s="82" t="s">
        <v>318</v>
      </c>
    </row>
    <row r="41" spans="1:17" s="111" customFormat="1" ht="17.100000000000001" customHeight="1">
      <c r="A41" s="119"/>
      <c r="B41" s="540"/>
      <c r="C41" s="593"/>
      <c r="D41" s="569"/>
      <c r="E41" s="596"/>
      <c r="F41" s="575"/>
      <c r="G41" s="555"/>
      <c r="H41" s="558"/>
      <c r="I41" s="173" t="s">
        <v>489</v>
      </c>
      <c r="J41" s="59">
        <v>12500000</v>
      </c>
      <c r="K41" s="62" t="s">
        <v>318</v>
      </c>
      <c r="L41" s="61" t="s">
        <v>334</v>
      </c>
      <c r="M41" s="62">
        <v>12</v>
      </c>
      <c r="N41" s="62" t="s">
        <v>333</v>
      </c>
      <c r="O41" s="79" t="s">
        <v>336</v>
      </c>
      <c r="P41" s="59">
        <f>SUM(J41*M41)</f>
        <v>150000000</v>
      </c>
      <c r="Q41" s="80" t="s">
        <v>318</v>
      </c>
    </row>
    <row r="42" spans="1:17" s="111" customFormat="1" ht="17.100000000000001" customHeight="1">
      <c r="A42" s="119"/>
      <c r="B42" s="540"/>
      <c r="C42" s="593"/>
      <c r="D42" s="569"/>
      <c r="E42" s="596"/>
      <c r="F42" s="523"/>
      <c r="G42" s="555"/>
      <c r="H42" s="558"/>
      <c r="I42" s="173" t="s">
        <v>383</v>
      </c>
      <c r="J42" s="59">
        <v>10000000</v>
      </c>
      <c r="K42" s="62" t="s">
        <v>318</v>
      </c>
      <c r="L42" s="61" t="s">
        <v>334</v>
      </c>
      <c r="M42" s="62">
        <v>2</v>
      </c>
      <c r="N42" s="62" t="s">
        <v>332</v>
      </c>
      <c r="O42" s="79" t="s">
        <v>342</v>
      </c>
      <c r="P42" s="59">
        <f>SUM(J42*M42)</f>
        <v>20000000</v>
      </c>
      <c r="Q42" s="80" t="s">
        <v>318</v>
      </c>
    </row>
    <row r="43" spans="1:17" s="111" customFormat="1" ht="17.100000000000001" customHeight="1">
      <c r="A43" s="119"/>
      <c r="B43" s="540"/>
      <c r="C43" s="594"/>
      <c r="D43" s="570"/>
      <c r="E43" s="597"/>
      <c r="F43" s="523"/>
      <c r="G43" s="556"/>
      <c r="H43" s="559"/>
      <c r="I43" s="173" t="s">
        <v>537</v>
      </c>
      <c r="J43" s="59">
        <v>75000000</v>
      </c>
      <c r="K43" s="62" t="s">
        <v>318</v>
      </c>
      <c r="L43" s="61" t="s">
        <v>334</v>
      </c>
      <c r="M43" s="62">
        <v>2</v>
      </c>
      <c r="N43" s="62" t="s">
        <v>332</v>
      </c>
      <c r="O43" s="79" t="s">
        <v>342</v>
      </c>
      <c r="P43" s="59">
        <f>SUM(J43*M43)</f>
        <v>150000000</v>
      </c>
      <c r="Q43" s="80" t="s">
        <v>318</v>
      </c>
    </row>
    <row r="44" spans="1:17" s="111" customFormat="1" ht="17.100000000000001" customHeight="1">
      <c r="A44" s="101"/>
      <c r="B44" s="532"/>
      <c r="C44" s="583" t="s">
        <v>217</v>
      </c>
      <c r="D44" s="568">
        <v>174136</v>
      </c>
      <c r="E44" s="619">
        <f>(P44/1000)</f>
        <v>174136</v>
      </c>
      <c r="F44" s="520">
        <v>61780</v>
      </c>
      <c r="G44" s="561">
        <f>+E44-D44</f>
        <v>0</v>
      </c>
      <c r="H44" s="557">
        <f>G44/D44*100</f>
        <v>0</v>
      </c>
      <c r="I44" s="183"/>
      <c r="J44" s="171"/>
      <c r="K44" s="539"/>
      <c r="L44" s="539"/>
      <c r="M44" s="577" t="s">
        <v>355</v>
      </c>
      <c r="N44" s="577"/>
      <c r="O44" s="577"/>
      <c r="P44" s="171">
        <f>SUM(P45:P48)</f>
        <v>174136000</v>
      </c>
      <c r="Q44" s="82" t="s">
        <v>318</v>
      </c>
    </row>
    <row r="45" spans="1:17" s="111" customFormat="1" ht="17.100000000000001" customHeight="1">
      <c r="A45" s="101"/>
      <c r="B45" s="532"/>
      <c r="C45" s="584"/>
      <c r="D45" s="569"/>
      <c r="E45" s="620"/>
      <c r="F45" s="523"/>
      <c r="G45" s="562"/>
      <c r="H45" s="558"/>
      <c r="I45" s="173" t="s">
        <v>301</v>
      </c>
      <c r="J45" s="59">
        <v>100000000</v>
      </c>
      <c r="K45" s="62" t="s">
        <v>318</v>
      </c>
      <c r="L45" s="61" t="s">
        <v>334</v>
      </c>
      <c r="M45" s="62">
        <v>1</v>
      </c>
      <c r="N45" s="62" t="s">
        <v>332</v>
      </c>
      <c r="O45" s="79" t="s">
        <v>336</v>
      </c>
      <c r="P45" s="59">
        <f>SUM(J45*M45)</f>
        <v>100000000</v>
      </c>
      <c r="Q45" s="80" t="s">
        <v>318</v>
      </c>
    </row>
    <row r="46" spans="1:17" s="111" customFormat="1" ht="17.100000000000001" customHeight="1">
      <c r="A46" s="101"/>
      <c r="B46" s="532"/>
      <c r="C46" s="584"/>
      <c r="D46" s="569"/>
      <c r="E46" s="620"/>
      <c r="F46" s="523"/>
      <c r="G46" s="562"/>
      <c r="H46" s="558"/>
      <c r="I46" s="173" t="s">
        <v>468</v>
      </c>
      <c r="J46" s="59">
        <v>10000000</v>
      </c>
      <c r="K46" s="62" t="s">
        <v>318</v>
      </c>
      <c r="L46" s="61" t="s">
        <v>334</v>
      </c>
      <c r="M46" s="62">
        <v>1</v>
      </c>
      <c r="N46" s="62" t="s">
        <v>332</v>
      </c>
      <c r="O46" s="79" t="s">
        <v>336</v>
      </c>
      <c r="P46" s="59">
        <f>SUM(J46*M46)</f>
        <v>10000000</v>
      </c>
      <c r="Q46" s="80" t="s">
        <v>318</v>
      </c>
    </row>
    <row r="47" spans="1:17" s="111" customFormat="1" ht="17.100000000000001" customHeight="1">
      <c r="A47" s="119"/>
      <c r="B47" s="540"/>
      <c r="C47" s="584"/>
      <c r="D47" s="569"/>
      <c r="E47" s="620"/>
      <c r="F47" s="523"/>
      <c r="G47" s="562"/>
      <c r="H47" s="558"/>
      <c r="I47" s="143" t="s">
        <v>46</v>
      </c>
      <c r="J47" s="59">
        <v>10000000</v>
      </c>
      <c r="K47" s="62" t="s">
        <v>318</v>
      </c>
      <c r="L47" s="61" t="s">
        <v>334</v>
      </c>
      <c r="M47" s="62">
        <v>3</v>
      </c>
      <c r="N47" s="62" t="s">
        <v>332</v>
      </c>
      <c r="O47" s="79" t="s">
        <v>336</v>
      </c>
      <c r="P47" s="59">
        <f>SUM(J47*M47)</f>
        <v>30000000</v>
      </c>
      <c r="Q47" s="80" t="s">
        <v>318</v>
      </c>
    </row>
    <row r="48" spans="1:17" s="111" customFormat="1" ht="17.100000000000001" customHeight="1">
      <c r="A48" s="184"/>
      <c r="B48" s="185"/>
      <c r="C48" s="588"/>
      <c r="D48" s="589"/>
      <c r="E48" s="621"/>
      <c r="F48" s="536"/>
      <c r="G48" s="578"/>
      <c r="H48" s="579"/>
      <c r="I48" s="186" t="s">
        <v>401</v>
      </c>
      <c r="J48" s="187">
        <v>8534000</v>
      </c>
      <c r="K48" s="188" t="s">
        <v>318</v>
      </c>
      <c r="L48" s="189" t="s">
        <v>334</v>
      </c>
      <c r="M48" s="188">
        <v>4</v>
      </c>
      <c r="N48" s="188" t="s">
        <v>332</v>
      </c>
      <c r="O48" s="190" t="s">
        <v>336</v>
      </c>
      <c r="P48" s="187">
        <f>SUM(J48*M48)</f>
        <v>34136000</v>
      </c>
      <c r="Q48" s="191" t="s">
        <v>318</v>
      </c>
    </row>
    <row r="49" spans="1:17" ht="17.100000000000001" customHeight="1">
      <c r="A49" s="101" t="s">
        <v>325</v>
      </c>
      <c r="B49" s="532" t="s">
        <v>352</v>
      </c>
      <c r="C49" s="529" t="s">
        <v>341</v>
      </c>
      <c r="D49" s="517">
        <f>SUM(D50:D61)</f>
        <v>625923</v>
      </c>
      <c r="E49" s="519">
        <f>SUM(E50:E61)</f>
        <v>564034.79</v>
      </c>
      <c r="F49" s="523">
        <f>SUM(F50:F61)</f>
        <v>624554</v>
      </c>
      <c r="G49" s="537">
        <f>+E49-D49</f>
        <v>-61888.209999999963</v>
      </c>
      <c r="H49" s="538">
        <f>+G49/D49*100</f>
        <v>-9.887511722687929</v>
      </c>
      <c r="I49" s="77"/>
      <c r="J49" s="77"/>
      <c r="K49" s="542"/>
      <c r="L49" s="542"/>
      <c r="M49" s="77"/>
      <c r="N49" s="77"/>
      <c r="O49" s="77"/>
      <c r="P49" s="142">
        <f>SUM(P50,P53)</f>
        <v>564034790</v>
      </c>
      <c r="Q49" s="66" t="s">
        <v>318</v>
      </c>
    </row>
    <row r="50" spans="1:17" ht="17.100000000000001" customHeight="1">
      <c r="A50" s="119"/>
      <c r="B50" s="532" t="s">
        <v>325</v>
      </c>
      <c r="C50" s="591" t="s">
        <v>182</v>
      </c>
      <c r="D50" s="568">
        <v>30230</v>
      </c>
      <c r="E50" s="571">
        <f>+P50/1000</f>
        <v>48342.29</v>
      </c>
      <c r="F50" s="574">
        <v>72575</v>
      </c>
      <c r="G50" s="561">
        <f>+E50-D50</f>
        <v>18112.29</v>
      </c>
      <c r="H50" s="580">
        <f>G50/D50*100</f>
        <v>59.914952034402916</v>
      </c>
      <c r="I50" s="170"/>
      <c r="J50" s="54"/>
      <c r="K50" s="539"/>
      <c r="L50" s="539"/>
      <c r="M50" s="577" t="s">
        <v>355</v>
      </c>
      <c r="N50" s="577"/>
      <c r="O50" s="577"/>
      <c r="P50" s="54">
        <f>SUM(P51:P52)</f>
        <v>48342290</v>
      </c>
      <c r="Q50" s="82" t="s">
        <v>318</v>
      </c>
    </row>
    <row r="51" spans="1:17" ht="17.100000000000001" customHeight="1">
      <c r="A51" s="119"/>
      <c r="B51" s="540"/>
      <c r="C51" s="591"/>
      <c r="D51" s="569"/>
      <c r="E51" s="572"/>
      <c r="F51" s="575"/>
      <c r="G51" s="562">
        <f>+D51-E51</f>
        <v>0</v>
      </c>
      <c r="H51" s="581"/>
      <c r="I51" s="173" t="s">
        <v>476</v>
      </c>
      <c r="J51" s="59">
        <v>1477470</v>
      </c>
      <c r="K51" s="62" t="s">
        <v>318</v>
      </c>
      <c r="L51" s="61" t="s">
        <v>334</v>
      </c>
      <c r="M51" s="62">
        <v>7</v>
      </c>
      <c r="N51" s="62" t="s">
        <v>333</v>
      </c>
      <c r="O51" s="79" t="s">
        <v>336</v>
      </c>
      <c r="P51" s="59">
        <f>J51*M51</f>
        <v>10342290</v>
      </c>
      <c r="Q51" s="80" t="s">
        <v>318</v>
      </c>
    </row>
    <row r="52" spans="1:17" ht="17.100000000000001" customHeight="1">
      <c r="A52" s="119"/>
      <c r="B52" s="540"/>
      <c r="C52" s="591"/>
      <c r="D52" s="570"/>
      <c r="E52" s="573"/>
      <c r="F52" s="576"/>
      <c r="G52" s="563"/>
      <c r="H52" s="582"/>
      <c r="I52" s="192" t="s">
        <v>61</v>
      </c>
      <c r="J52" s="147">
        <v>100000</v>
      </c>
      <c r="K52" s="148" t="s">
        <v>318</v>
      </c>
      <c r="L52" s="149" t="s">
        <v>334</v>
      </c>
      <c r="M52" s="767">
        <v>380</v>
      </c>
      <c r="N52" s="148" t="s">
        <v>332</v>
      </c>
      <c r="O52" s="150" t="s">
        <v>336</v>
      </c>
      <c r="P52" s="147">
        <f>J52*M52</f>
        <v>38000000</v>
      </c>
      <c r="Q52" s="151" t="s">
        <v>318</v>
      </c>
    </row>
    <row r="53" spans="1:17" ht="17.100000000000001" customHeight="1">
      <c r="A53" s="101" t="s">
        <v>325</v>
      </c>
      <c r="B53" s="532" t="s">
        <v>352</v>
      </c>
      <c r="C53" s="590" t="s">
        <v>248</v>
      </c>
      <c r="D53" s="568">
        <v>595693</v>
      </c>
      <c r="E53" s="571">
        <f>+P53/1000</f>
        <v>515692.5</v>
      </c>
      <c r="F53" s="574">
        <v>551979</v>
      </c>
      <c r="G53" s="561">
        <f>+E53-D53</f>
        <v>-80000.5</v>
      </c>
      <c r="H53" s="557">
        <f>+G53/D53*100</f>
        <v>-13.429820394062041</v>
      </c>
      <c r="I53" s="170"/>
      <c r="J53" s="54"/>
      <c r="K53" s="539"/>
      <c r="L53" s="539"/>
      <c r="M53" s="539" t="s">
        <v>355</v>
      </c>
      <c r="N53" s="539"/>
      <c r="O53" s="539"/>
      <c r="P53" s="54">
        <f>SUM(P54:P61)</f>
        <v>515692500</v>
      </c>
      <c r="Q53" s="82" t="s">
        <v>318</v>
      </c>
    </row>
    <row r="54" spans="1:17" ht="17.100000000000001" customHeight="1">
      <c r="A54" s="101"/>
      <c r="B54" s="532" t="s">
        <v>325</v>
      </c>
      <c r="C54" s="591"/>
      <c r="D54" s="569"/>
      <c r="E54" s="572"/>
      <c r="F54" s="575"/>
      <c r="G54" s="562">
        <f>+D54-E54</f>
        <v>0</v>
      </c>
      <c r="H54" s="558" t="e">
        <f>+G54/D54*100</f>
        <v>#DIV/0!</v>
      </c>
      <c r="I54" s="173" t="s">
        <v>242</v>
      </c>
      <c r="J54" s="59">
        <v>10000000</v>
      </c>
      <c r="K54" s="62" t="s">
        <v>318</v>
      </c>
      <c r="L54" s="61" t="s">
        <v>334</v>
      </c>
      <c r="M54" s="62">
        <v>12</v>
      </c>
      <c r="N54" s="62" t="s">
        <v>333</v>
      </c>
      <c r="O54" s="79" t="s">
        <v>336</v>
      </c>
      <c r="P54" s="59">
        <f>J54*M54</f>
        <v>120000000</v>
      </c>
      <c r="Q54" s="80" t="s">
        <v>318</v>
      </c>
    </row>
    <row r="55" spans="1:17" ht="17.100000000000001" customHeight="1">
      <c r="A55" s="119"/>
      <c r="B55" s="540"/>
      <c r="C55" s="583"/>
      <c r="D55" s="569"/>
      <c r="E55" s="572"/>
      <c r="F55" s="575"/>
      <c r="G55" s="562"/>
      <c r="H55" s="558" t="e">
        <f>+G55/D55*100</f>
        <v>#DIV/0!</v>
      </c>
      <c r="I55" s="173" t="s">
        <v>354</v>
      </c>
      <c r="J55" s="59">
        <v>23200000</v>
      </c>
      <c r="K55" s="62" t="s">
        <v>318</v>
      </c>
      <c r="L55" s="61" t="s">
        <v>334</v>
      </c>
      <c r="M55" s="62">
        <v>12</v>
      </c>
      <c r="N55" s="62" t="s">
        <v>333</v>
      </c>
      <c r="O55" s="79" t="s">
        <v>336</v>
      </c>
      <c r="P55" s="59">
        <f>SUM(J55*M55)</f>
        <v>278400000</v>
      </c>
      <c r="Q55" s="80" t="s">
        <v>318</v>
      </c>
    </row>
    <row r="56" spans="1:17" ht="17.100000000000001" customHeight="1">
      <c r="A56" s="119"/>
      <c r="B56" s="540"/>
      <c r="C56" s="583"/>
      <c r="D56" s="569"/>
      <c r="E56" s="572"/>
      <c r="F56" s="575"/>
      <c r="G56" s="562"/>
      <c r="H56" s="558"/>
      <c r="I56" s="60" t="s">
        <v>302</v>
      </c>
      <c r="J56" s="59">
        <v>2000000</v>
      </c>
      <c r="K56" s="62" t="s">
        <v>318</v>
      </c>
      <c r="L56" s="61" t="s">
        <v>334</v>
      </c>
      <c r="M56" s="62">
        <v>12</v>
      </c>
      <c r="N56" s="62" t="s">
        <v>332</v>
      </c>
      <c r="O56" s="79" t="s">
        <v>336</v>
      </c>
      <c r="P56" s="59">
        <f>SUM(J56*M56)</f>
        <v>24000000</v>
      </c>
      <c r="Q56" s="80" t="s">
        <v>318</v>
      </c>
    </row>
    <row r="57" spans="1:17" ht="17.100000000000001" customHeight="1">
      <c r="A57" s="119"/>
      <c r="B57" s="540"/>
      <c r="C57" s="583"/>
      <c r="D57" s="569"/>
      <c r="E57" s="572"/>
      <c r="F57" s="575"/>
      <c r="G57" s="562"/>
      <c r="H57" s="558"/>
      <c r="I57" s="60" t="s">
        <v>312</v>
      </c>
      <c r="J57" s="59">
        <v>2100000</v>
      </c>
      <c r="K57" s="62" t="s">
        <v>318</v>
      </c>
      <c r="L57" s="61" t="s">
        <v>334</v>
      </c>
      <c r="M57" s="62">
        <v>12</v>
      </c>
      <c r="N57" s="62" t="s">
        <v>332</v>
      </c>
      <c r="O57" s="79" t="s">
        <v>336</v>
      </c>
      <c r="P57" s="59">
        <f>SUM(J57*M57)</f>
        <v>25200000</v>
      </c>
      <c r="Q57" s="80" t="s">
        <v>318</v>
      </c>
    </row>
    <row r="58" spans="1:17" ht="17.100000000000001" customHeight="1">
      <c r="A58" s="119"/>
      <c r="B58" s="540"/>
      <c r="C58" s="583"/>
      <c r="D58" s="569"/>
      <c r="E58" s="572"/>
      <c r="F58" s="575"/>
      <c r="G58" s="562"/>
      <c r="H58" s="558"/>
      <c r="I58" s="173" t="s">
        <v>153</v>
      </c>
      <c r="J58" s="59">
        <v>1300000</v>
      </c>
      <c r="K58" s="62" t="s">
        <v>318</v>
      </c>
      <c r="L58" s="61" t="s">
        <v>334</v>
      </c>
      <c r="M58" s="62">
        <v>12</v>
      </c>
      <c r="N58" s="62" t="s">
        <v>332</v>
      </c>
      <c r="O58" s="79" t="s">
        <v>336</v>
      </c>
      <c r="P58" s="59">
        <f>SUM(J58*M58)</f>
        <v>15600000</v>
      </c>
      <c r="Q58" s="193" t="s">
        <v>318</v>
      </c>
    </row>
    <row r="59" spans="1:17" ht="17.100000000000001" customHeight="1">
      <c r="A59" s="119"/>
      <c r="B59" s="540"/>
      <c r="C59" s="583"/>
      <c r="D59" s="569"/>
      <c r="E59" s="572"/>
      <c r="F59" s="575"/>
      <c r="G59" s="562"/>
      <c r="H59" s="558"/>
      <c r="I59" s="173" t="s">
        <v>228</v>
      </c>
      <c r="J59" s="59">
        <v>47452500</v>
      </c>
      <c r="K59" s="62" t="s">
        <v>318</v>
      </c>
      <c r="L59" s="61" t="s">
        <v>334</v>
      </c>
      <c r="M59" s="62">
        <v>1</v>
      </c>
      <c r="N59" s="62" t="s">
        <v>332</v>
      </c>
      <c r="O59" s="79" t="s">
        <v>336</v>
      </c>
      <c r="P59" s="59">
        <f>J59*M59</f>
        <v>47452500</v>
      </c>
      <c r="Q59" s="193" t="s">
        <v>318</v>
      </c>
    </row>
    <row r="60" spans="1:17" ht="17.100000000000001" customHeight="1">
      <c r="A60" s="119"/>
      <c r="B60" s="540"/>
      <c r="C60" s="583"/>
      <c r="D60" s="569"/>
      <c r="E60" s="572"/>
      <c r="F60" s="575"/>
      <c r="G60" s="562"/>
      <c r="H60" s="558" t="e">
        <f>+G60/D60*100</f>
        <v>#DIV/0!</v>
      </c>
      <c r="I60" s="173" t="s">
        <v>212</v>
      </c>
      <c r="J60" s="59">
        <v>300000</v>
      </c>
      <c r="K60" s="62" t="s">
        <v>318</v>
      </c>
      <c r="L60" s="61" t="s">
        <v>334</v>
      </c>
      <c r="M60" s="62">
        <v>12</v>
      </c>
      <c r="N60" s="62" t="s">
        <v>332</v>
      </c>
      <c r="O60" s="79" t="s">
        <v>336</v>
      </c>
      <c r="P60" s="59">
        <f>SUM(J60*M60)</f>
        <v>3600000</v>
      </c>
      <c r="Q60" s="193" t="s">
        <v>318</v>
      </c>
    </row>
    <row r="61" spans="1:17" ht="17.100000000000001" customHeight="1">
      <c r="A61" s="119"/>
      <c r="B61" s="540"/>
      <c r="C61" s="583"/>
      <c r="D61" s="569"/>
      <c r="E61" s="572"/>
      <c r="F61" s="575"/>
      <c r="G61" s="562"/>
      <c r="H61" s="558"/>
      <c r="I61" s="143" t="s">
        <v>33</v>
      </c>
      <c r="J61" s="59">
        <v>120000</v>
      </c>
      <c r="K61" s="62" t="s">
        <v>318</v>
      </c>
      <c r="L61" s="61" t="s">
        <v>334</v>
      </c>
      <c r="M61" s="62">
        <v>12</v>
      </c>
      <c r="N61" s="62" t="s">
        <v>332</v>
      </c>
      <c r="O61" s="79" t="s">
        <v>336</v>
      </c>
      <c r="P61" s="59">
        <f>J61*M61</f>
        <v>1440000</v>
      </c>
      <c r="Q61" s="80" t="s">
        <v>318</v>
      </c>
    </row>
    <row r="62" spans="1:17" ht="18.95" customHeight="1">
      <c r="A62" s="162" t="s">
        <v>339</v>
      </c>
      <c r="B62" s="586" t="s">
        <v>330</v>
      </c>
      <c r="C62" s="587"/>
      <c r="D62" s="132">
        <f>SUM(D63)</f>
        <v>1914476</v>
      </c>
      <c r="E62" s="133">
        <f>SUM(E63)</f>
        <v>1923415.4348400002</v>
      </c>
      <c r="F62" s="152">
        <f>SUM(F63)</f>
        <v>875385</v>
      </c>
      <c r="G62" s="135">
        <f>+E62-D62</f>
        <v>8939.4348400002345</v>
      </c>
      <c r="H62" s="136">
        <f>+G62/D62*100</f>
        <v>0.46693898696041286</v>
      </c>
      <c r="I62" s="137"/>
      <c r="J62" s="137"/>
      <c r="K62" s="534"/>
      <c r="L62" s="534"/>
      <c r="M62" s="137"/>
      <c r="N62" s="137"/>
      <c r="O62" s="137"/>
      <c r="P62" s="138">
        <f>P63</f>
        <v>1923415434.8400002</v>
      </c>
      <c r="Q62" s="139" t="s">
        <v>318</v>
      </c>
    </row>
    <row r="63" spans="1:17" ht="17.100000000000001" customHeight="1">
      <c r="A63" s="119"/>
      <c r="B63" s="532" t="s">
        <v>339</v>
      </c>
      <c r="C63" s="530" t="s">
        <v>341</v>
      </c>
      <c r="D63" s="155">
        <f>SUM(D64:D77)</f>
        <v>1914476</v>
      </c>
      <c r="E63" s="194">
        <f>P63/1000</f>
        <v>1923415.4348400002</v>
      </c>
      <c r="F63" s="195">
        <f>SUM(F64:F66)</f>
        <v>875385</v>
      </c>
      <c r="G63" s="115">
        <f>+E63-D63</f>
        <v>8939.4348400002345</v>
      </c>
      <c r="H63" s="535">
        <f>+G63/D63*100</f>
        <v>0.46693898696041286</v>
      </c>
      <c r="I63" s="77"/>
      <c r="J63" s="77"/>
      <c r="K63" s="542"/>
      <c r="L63" s="542"/>
      <c r="M63" s="77"/>
      <c r="N63" s="77"/>
      <c r="O63" s="77"/>
      <c r="P63" s="142">
        <f>SUM(P64,P67,P70,P73)</f>
        <v>1923415434.8400002</v>
      </c>
      <c r="Q63" s="66" t="s">
        <v>318</v>
      </c>
    </row>
    <row r="64" spans="1:17" ht="17.100000000000001" customHeight="1">
      <c r="A64" s="119"/>
      <c r="B64" s="540"/>
      <c r="C64" s="583" t="s">
        <v>93</v>
      </c>
      <c r="D64" s="568">
        <v>780056</v>
      </c>
      <c r="E64" s="571">
        <f>+P64/1000</f>
        <v>780055.99991999997</v>
      </c>
      <c r="F64" s="574">
        <v>875385</v>
      </c>
      <c r="G64" s="561">
        <f>+E64-D64</f>
        <v>-8.000002708286047E-5</v>
      </c>
      <c r="H64" s="557">
        <f>+G64/D64*100</f>
        <v>-1.0255677423526065E-8</v>
      </c>
      <c r="I64" s="122"/>
      <c r="J64" s="123"/>
      <c r="K64" s="524"/>
      <c r="L64" s="524"/>
      <c r="M64" s="564" t="s">
        <v>355</v>
      </c>
      <c r="N64" s="564"/>
      <c r="O64" s="564"/>
      <c r="P64" s="123">
        <f>SUM(P65:P66)</f>
        <v>780055999.91999996</v>
      </c>
      <c r="Q64" s="53" t="s">
        <v>318</v>
      </c>
    </row>
    <row r="65" spans="1:17" ht="17.100000000000001" customHeight="1">
      <c r="A65" s="119"/>
      <c r="B65" s="540"/>
      <c r="C65" s="584"/>
      <c r="D65" s="569"/>
      <c r="E65" s="572"/>
      <c r="F65" s="575"/>
      <c r="G65" s="562">
        <f>+E65-D65</f>
        <v>0</v>
      </c>
      <c r="H65" s="558"/>
      <c r="I65" s="128" t="s">
        <v>54</v>
      </c>
      <c r="J65" s="130">
        <v>13338000</v>
      </c>
      <c r="K65" s="542" t="s">
        <v>318</v>
      </c>
      <c r="L65" s="78" t="s">
        <v>334</v>
      </c>
      <c r="M65" s="542">
        <v>12</v>
      </c>
      <c r="N65" s="542" t="s">
        <v>333</v>
      </c>
      <c r="O65" s="64" t="s">
        <v>336</v>
      </c>
      <c r="P65" s="130">
        <f>J65*M65</f>
        <v>160056000</v>
      </c>
      <c r="Q65" s="66" t="s">
        <v>318</v>
      </c>
    </row>
    <row r="66" spans="1:17" ht="17.100000000000001" customHeight="1">
      <c r="A66" s="119"/>
      <c r="B66" s="540"/>
      <c r="C66" s="585"/>
      <c r="D66" s="570"/>
      <c r="E66" s="573"/>
      <c r="F66" s="576"/>
      <c r="G66" s="563">
        <f>+E66-D66</f>
        <v>0</v>
      </c>
      <c r="H66" s="559"/>
      <c r="I66" s="196" t="s">
        <v>48</v>
      </c>
      <c r="J66" s="129">
        <v>51666666.659999996</v>
      </c>
      <c r="K66" s="73" t="s">
        <v>318</v>
      </c>
      <c r="L66" s="72" t="s">
        <v>334</v>
      </c>
      <c r="M66" s="73">
        <v>12</v>
      </c>
      <c r="N66" s="73" t="s">
        <v>332</v>
      </c>
      <c r="O66" s="74" t="s">
        <v>336</v>
      </c>
      <c r="P66" s="129">
        <f>SUM(J66*M66)</f>
        <v>619999999.91999996</v>
      </c>
      <c r="Q66" s="75" t="s">
        <v>318</v>
      </c>
    </row>
    <row r="67" spans="1:17" ht="17.100000000000001" customHeight="1">
      <c r="A67" s="119"/>
      <c r="B67" s="540"/>
      <c r="C67" s="583" t="s">
        <v>88</v>
      </c>
      <c r="D67" s="568">
        <v>295376</v>
      </c>
      <c r="E67" s="571">
        <f>+P67/1000</f>
        <v>295376.11</v>
      </c>
      <c r="F67" s="574">
        <v>593059</v>
      </c>
      <c r="G67" s="561">
        <f>E67-D67</f>
        <v>0.10999999998603016</v>
      </c>
      <c r="H67" s="557">
        <f>+G67/D67*100</f>
        <v>3.7240669514798144E-5</v>
      </c>
      <c r="I67" s="122"/>
      <c r="J67" s="57"/>
      <c r="K67" s="524"/>
      <c r="L67" s="524"/>
      <c r="M67" s="564" t="s">
        <v>355</v>
      </c>
      <c r="N67" s="564"/>
      <c r="O67" s="564"/>
      <c r="P67" s="57">
        <f>SUM(P68:P69)</f>
        <v>295376110</v>
      </c>
      <c r="Q67" s="53" t="s">
        <v>318</v>
      </c>
    </row>
    <row r="68" spans="1:17" ht="17.100000000000001" customHeight="1">
      <c r="A68" s="119"/>
      <c r="B68" s="529"/>
      <c r="C68" s="584"/>
      <c r="D68" s="569"/>
      <c r="E68" s="572"/>
      <c r="F68" s="575"/>
      <c r="G68" s="562"/>
      <c r="H68" s="558"/>
      <c r="I68" s="60" t="s">
        <v>425</v>
      </c>
      <c r="J68" s="59">
        <v>56773360</v>
      </c>
      <c r="K68" s="542" t="s">
        <v>318</v>
      </c>
      <c r="L68" s="78" t="s">
        <v>334</v>
      </c>
      <c r="M68" s="542">
        <v>1</v>
      </c>
      <c r="N68" s="542" t="s">
        <v>332</v>
      </c>
      <c r="O68" s="197" t="s">
        <v>336</v>
      </c>
      <c r="P68" s="65">
        <f>SUM(J68*M68)</f>
        <v>56773360</v>
      </c>
      <c r="Q68" s="66" t="s">
        <v>318</v>
      </c>
    </row>
    <row r="69" spans="1:17" ht="17.100000000000001" customHeight="1">
      <c r="A69" s="119"/>
      <c r="B69" s="529"/>
      <c r="C69" s="585"/>
      <c r="D69" s="570"/>
      <c r="E69" s="573"/>
      <c r="F69" s="576"/>
      <c r="G69" s="563"/>
      <c r="H69" s="559"/>
      <c r="I69" s="192" t="s">
        <v>418</v>
      </c>
      <c r="J69" s="147">
        <v>238602750</v>
      </c>
      <c r="K69" s="148" t="s">
        <v>318</v>
      </c>
      <c r="L69" s="149" t="s">
        <v>334</v>
      </c>
      <c r="M69" s="148">
        <v>1</v>
      </c>
      <c r="N69" s="148" t="s">
        <v>332</v>
      </c>
      <c r="O69" s="150" t="s">
        <v>336</v>
      </c>
      <c r="P69" s="147">
        <f>SUM(J69*M69)</f>
        <v>238602750</v>
      </c>
      <c r="Q69" s="151" t="s">
        <v>318</v>
      </c>
    </row>
    <row r="70" spans="1:17" ht="17.100000000000001" customHeight="1">
      <c r="A70" s="101"/>
      <c r="B70" s="532"/>
      <c r="C70" s="565" t="s">
        <v>101</v>
      </c>
      <c r="D70" s="568">
        <v>590000</v>
      </c>
      <c r="E70" s="571">
        <f>+P70/1000</f>
        <v>590000</v>
      </c>
      <c r="F70" s="574">
        <v>538723</v>
      </c>
      <c r="G70" s="561">
        <f>+E70-D70</f>
        <v>0</v>
      </c>
      <c r="H70" s="557">
        <f>+G70/D70*100</f>
        <v>0</v>
      </c>
      <c r="I70" s="122"/>
      <c r="J70" s="54"/>
      <c r="K70" s="539"/>
      <c r="L70" s="539"/>
      <c r="M70" s="577" t="s">
        <v>355</v>
      </c>
      <c r="N70" s="577"/>
      <c r="O70" s="577"/>
      <c r="P70" s="54">
        <f>SUM(P71:P72)</f>
        <v>590000000</v>
      </c>
      <c r="Q70" s="82" t="s">
        <v>318</v>
      </c>
    </row>
    <row r="71" spans="1:17" ht="17.100000000000001" customHeight="1">
      <c r="A71" s="119"/>
      <c r="B71" s="529"/>
      <c r="C71" s="566"/>
      <c r="D71" s="569"/>
      <c r="E71" s="572"/>
      <c r="F71" s="575"/>
      <c r="G71" s="562"/>
      <c r="H71" s="558"/>
      <c r="I71" s="60" t="s">
        <v>514</v>
      </c>
      <c r="J71" s="59">
        <v>175000000</v>
      </c>
      <c r="K71" s="62" t="s">
        <v>318</v>
      </c>
      <c r="L71" s="61" t="s">
        <v>334</v>
      </c>
      <c r="M71" s="62">
        <v>2</v>
      </c>
      <c r="N71" s="62" t="s">
        <v>332</v>
      </c>
      <c r="O71" s="79" t="s">
        <v>336</v>
      </c>
      <c r="P71" s="59">
        <f>SUM(J71*M71)</f>
        <v>350000000</v>
      </c>
      <c r="Q71" s="80" t="s">
        <v>318</v>
      </c>
    </row>
    <row r="72" spans="1:17" ht="17.100000000000001" customHeight="1">
      <c r="A72" s="119"/>
      <c r="B72" s="529"/>
      <c r="C72" s="567"/>
      <c r="D72" s="570"/>
      <c r="E72" s="573"/>
      <c r="F72" s="576"/>
      <c r="G72" s="563">
        <f>+D72-E72</f>
        <v>0</v>
      </c>
      <c r="H72" s="559"/>
      <c r="I72" s="146" t="s">
        <v>508</v>
      </c>
      <c r="J72" s="147">
        <v>60000000</v>
      </c>
      <c r="K72" s="148" t="s">
        <v>318</v>
      </c>
      <c r="L72" s="149" t="s">
        <v>334</v>
      </c>
      <c r="M72" s="148">
        <v>4</v>
      </c>
      <c r="N72" s="148" t="s">
        <v>332</v>
      </c>
      <c r="O72" s="150" t="s">
        <v>336</v>
      </c>
      <c r="P72" s="147">
        <f>SUM(J72*M72)</f>
        <v>240000000</v>
      </c>
      <c r="Q72" s="151" t="s">
        <v>318</v>
      </c>
    </row>
    <row r="73" spans="1:17" ht="17.100000000000001" customHeight="1">
      <c r="A73" s="101"/>
      <c r="B73" s="533"/>
      <c r="C73" s="583" t="s">
        <v>91</v>
      </c>
      <c r="D73" s="568">
        <v>249044</v>
      </c>
      <c r="E73" s="571">
        <f>+P73/1000</f>
        <v>257983.32492000001</v>
      </c>
      <c r="F73" s="574">
        <v>22522</v>
      </c>
      <c r="G73" s="561">
        <f>+E73-D73</f>
        <v>8939.3249200000137</v>
      </c>
      <c r="H73" s="557">
        <f>+G73/D73*100</f>
        <v>3.5894560479272792</v>
      </c>
      <c r="I73" s="122"/>
      <c r="J73" s="171"/>
      <c r="K73" s="539"/>
      <c r="L73" s="539"/>
      <c r="M73" s="577" t="s">
        <v>355</v>
      </c>
      <c r="N73" s="577"/>
      <c r="O73" s="577"/>
      <c r="P73" s="171">
        <f>SUM(P74:P77)</f>
        <v>257983324.92000002</v>
      </c>
      <c r="Q73" s="82" t="s">
        <v>318</v>
      </c>
    </row>
    <row r="74" spans="1:17" ht="17.100000000000001" customHeight="1">
      <c r="A74" s="119"/>
      <c r="B74" s="529"/>
      <c r="C74" s="584"/>
      <c r="D74" s="569"/>
      <c r="E74" s="572"/>
      <c r="F74" s="575"/>
      <c r="G74" s="562"/>
      <c r="H74" s="558"/>
      <c r="I74" s="199" t="s">
        <v>40</v>
      </c>
      <c r="J74" s="59">
        <v>6689166.6600000001</v>
      </c>
      <c r="K74" s="62" t="s">
        <v>318</v>
      </c>
      <c r="L74" s="61" t="s">
        <v>334</v>
      </c>
      <c r="M74" s="62">
        <v>12</v>
      </c>
      <c r="N74" s="62" t="s">
        <v>333</v>
      </c>
      <c r="O74" s="79" t="s">
        <v>336</v>
      </c>
      <c r="P74" s="59">
        <f>SUM(J74*M74)</f>
        <v>80269999.920000002</v>
      </c>
      <c r="Q74" s="80" t="s">
        <v>318</v>
      </c>
    </row>
    <row r="75" spans="1:17" ht="17.100000000000001" customHeight="1">
      <c r="A75" s="119"/>
      <c r="B75" s="529"/>
      <c r="C75" s="584"/>
      <c r="D75" s="569"/>
      <c r="E75" s="572"/>
      <c r="F75" s="124"/>
      <c r="G75" s="562"/>
      <c r="H75" s="558"/>
      <c r="I75" s="199" t="s">
        <v>416</v>
      </c>
      <c r="J75" s="59">
        <v>8810000</v>
      </c>
      <c r="K75" s="62" t="s">
        <v>318</v>
      </c>
      <c r="L75" s="61" t="s">
        <v>334</v>
      </c>
      <c r="M75" s="62">
        <v>12</v>
      </c>
      <c r="N75" s="62" t="s">
        <v>332</v>
      </c>
      <c r="O75" s="79" t="s">
        <v>336</v>
      </c>
      <c r="P75" s="59">
        <f>SUM(J75*M75)</f>
        <v>105720000</v>
      </c>
      <c r="Q75" s="80" t="s">
        <v>318</v>
      </c>
    </row>
    <row r="76" spans="1:17" ht="17.100000000000001" customHeight="1">
      <c r="A76" s="119"/>
      <c r="B76" s="529"/>
      <c r="C76" s="584"/>
      <c r="D76" s="569"/>
      <c r="E76" s="572"/>
      <c r="F76" s="124"/>
      <c r="G76" s="562"/>
      <c r="H76" s="558"/>
      <c r="I76" s="199" t="s">
        <v>415</v>
      </c>
      <c r="J76" s="59">
        <v>23200000</v>
      </c>
      <c r="K76" s="62" t="s">
        <v>318</v>
      </c>
      <c r="L76" s="61" t="s">
        <v>334</v>
      </c>
      <c r="M76" s="62">
        <v>1</v>
      </c>
      <c r="N76" s="62" t="s">
        <v>332</v>
      </c>
      <c r="O76" s="79" t="s">
        <v>336</v>
      </c>
      <c r="P76" s="59">
        <f>SUM(J76*M76)</f>
        <v>23200000</v>
      </c>
      <c r="Q76" s="80" t="s">
        <v>318</v>
      </c>
    </row>
    <row r="77" spans="1:17" ht="17.100000000000001" customHeight="1">
      <c r="A77" s="200"/>
      <c r="B77" s="541"/>
      <c r="C77" s="585"/>
      <c r="D77" s="570"/>
      <c r="E77" s="573"/>
      <c r="F77" s="127"/>
      <c r="G77" s="563"/>
      <c r="H77" s="559"/>
      <c r="I77" s="768" t="s">
        <v>515</v>
      </c>
      <c r="J77" s="147">
        <v>48793325</v>
      </c>
      <c r="K77" s="148" t="s">
        <v>318</v>
      </c>
      <c r="L77" s="149" t="s">
        <v>334</v>
      </c>
      <c r="M77" s="148">
        <v>1</v>
      </c>
      <c r="N77" s="148" t="s">
        <v>332</v>
      </c>
      <c r="O77" s="150" t="s">
        <v>336</v>
      </c>
      <c r="P77" s="147">
        <f>SUM(J77*M77)</f>
        <v>48793325</v>
      </c>
      <c r="Q77" s="151" t="s">
        <v>318</v>
      </c>
    </row>
    <row r="78" spans="1:17" ht="18.95" customHeight="1">
      <c r="A78" s="162" t="s">
        <v>360</v>
      </c>
      <c r="B78" s="586" t="s">
        <v>330</v>
      </c>
      <c r="C78" s="587"/>
      <c r="D78" s="132">
        <f>SUM(D79)</f>
        <v>4769083</v>
      </c>
      <c r="E78" s="133">
        <f>SUM(E79)</f>
        <v>4769082.949</v>
      </c>
      <c r="F78" s="152">
        <f>SUM(F79)</f>
        <v>1596860</v>
      </c>
      <c r="G78" s="135">
        <f>+E78-D78</f>
        <v>-5.0999999977648258E-2</v>
      </c>
      <c r="H78" s="136">
        <f t="shared" ref="H78:H90" si="4">+G78/D78*100</f>
        <v>-1.0693879720199513E-6</v>
      </c>
      <c r="I78" s="137"/>
      <c r="J78" s="137"/>
      <c r="K78" s="534"/>
      <c r="L78" s="534"/>
      <c r="M78" s="137"/>
      <c r="N78" s="137"/>
      <c r="O78" s="137"/>
      <c r="P78" s="138">
        <f>SUM(P79)</f>
        <v>4769082949</v>
      </c>
      <c r="Q78" s="139" t="s">
        <v>318</v>
      </c>
    </row>
    <row r="79" spans="1:17" ht="17.100000000000001" customHeight="1">
      <c r="A79" s="119"/>
      <c r="B79" s="201" t="s">
        <v>360</v>
      </c>
      <c r="C79" s="528" t="s">
        <v>341</v>
      </c>
      <c r="D79" s="516">
        <f>SUM(D80:D82)</f>
        <v>4769083</v>
      </c>
      <c r="E79" s="202">
        <f>SUM(E80:E82)</f>
        <v>4769082.949</v>
      </c>
      <c r="F79" s="203">
        <f>SUM(F80:F82)</f>
        <v>1596860</v>
      </c>
      <c r="G79" s="115">
        <f>E79-D79</f>
        <v>-5.0999999977648258E-2</v>
      </c>
      <c r="H79" s="535">
        <f t="shared" si="4"/>
        <v>-1.0693879720199513E-6</v>
      </c>
      <c r="I79" s="67" t="s">
        <v>349</v>
      </c>
      <c r="J79" s="137" t="s">
        <v>349</v>
      </c>
      <c r="K79" s="524"/>
      <c r="L79" s="524"/>
      <c r="M79" s="67"/>
      <c r="N79" s="601" t="s">
        <v>355</v>
      </c>
      <c r="O79" s="601"/>
      <c r="P79" s="118">
        <f>SUM(P80:P82)</f>
        <v>4769082949</v>
      </c>
      <c r="Q79" s="53" t="s">
        <v>318</v>
      </c>
    </row>
    <row r="80" spans="1:17" ht="17.100000000000001" customHeight="1">
      <c r="A80" s="119"/>
      <c r="B80" s="540"/>
      <c r="C80" s="204" t="s">
        <v>280</v>
      </c>
      <c r="D80" s="205">
        <v>1954175</v>
      </c>
      <c r="E80" s="206">
        <f>+P80/1000</f>
        <v>1954174.817</v>
      </c>
      <c r="F80" s="207">
        <v>313065</v>
      </c>
      <c r="G80" s="115">
        <f>E80-D80</f>
        <v>-0.18299999996088445</v>
      </c>
      <c r="H80" s="535">
        <f t="shared" si="4"/>
        <v>-9.3645656075266778E-6</v>
      </c>
      <c r="I80" s="208" t="s">
        <v>280</v>
      </c>
      <c r="J80" s="209">
        <v>1954174817</v>
      </c>
      <c r="K80" s="137" t="s">
        <v>318</v>
      </c>
      <c r="L80" s="210" t="s">
        <v>334</v>
      </c>
      <c r="M80" s="534">
        <v>1</v>
      </c>
      <c r="N80" s="534" t="s">
        <v>332</v>
      </c>
      <c r="O80" s="211" t="s">
        <v>336</v>
      </c>
      <c r="P80" s="212">
        <f>+J80*M80</f>
        <v>1954174817</v>
      </c>
      <c r="Q80" s="160" t="s">
        <v>318</v>
      </c>
    </row>
    <row r="81" spans="1:17" ht="17.100000000000001" customHeight="1">
      <c r="A81" s="119"/>
      <c r="B81" s="540"/>
      <c r="C81" s="204" t="s">
        <v>128</v>
      </c>
      <c r="D81" s="155">
        <v>820905</v>
      </c>
      <c r="E81" s="206">
        <f>+P81/1000</f>
        <v>820905.10699999996</v>
      </c>
      <c r="F81" s="207">
        <v>1283795</v>
      </c>
      <c r="G81" s="115">
        <f>E81-D81</f>
        <v>0.10699999995995313</v>
      </c>
      <c r="H81" s="535">
        <f t="shared" si="4"/>
        <v>1.303439496165246E-5</v>
      </c>
      <c r="I81" s="208" t="s">
        <v>128</v>
      </c>
      <c r="J81" s="209">
        <v>820905107</v>
      </c>
      <c r="K81" s="137" t="s">
        <v>318</v>
      </c>
      <c r="L81" s="210" t="s">
        <v>334</v>
      </c>
      <c r="M81" s="534">
        <v>1</v>
      </c>
      <c r="N81" s="534" t="s">
        <v>332</v>
      </c>
      <c r="O81" s="211" t="s">
        <v>336</v>
      </c>
      <c r="P81" s="212">
        <f>+J81*M81</f>
        <v>820905107</v>
      </c>
      <c r="Q81" s="160" t="s">
        <v>318</v>
      </c>
    </row>
    <row r="82" spans="1:17" ht="17.100000000000001" customHeight="1">
      <c r="A82" s="119"/>
      <c r="B82" s="540" t="s">
        <v>349</v>
      </c>
      <c r="C82" s="528" t="s">
        <v>165</v>
      </c>
      <c r="D82" s="155">
        <v>1994003</v>
      </c>
      <c r="E82" s="206">
        <f>+P82/1000</f>
        <v>1994003.0249999999</v>
      </c>
      <c r="F82" s="207">
        <v>0</v>
      </c>
      <c r="G82" s="115">
        <f>E82-D82</f>
        <v>2.4999999906867743E-2</v>
      </c>
      <c r="H82" s="535">
        <f t="shared" si="4"/>
        <v>1.2537593928829468E-6</v>
      </c>
      <c r="I82" s="122" t="s">
        <v>165</v>
      </c>
      <c r="J82" s="209">
        <v>1994003025</v>
      </c>
      <c r="K82" s="67" t="s">
        <v>318</v>
      </c>
      <c r="L82" s="68" t="s">
        <v>334</v>
      </c>
      <c r="M82" s="524">
        <v>1</v>
      </c>
      <c r="N82" s="524" t="s">
        <v>332</v>
      </c>
      <c r="O82" s="213" t="s">
        <v>336</v>
      </c>
      <c r="P82" s="57">
        <f>+J82*M82</f>
        <v>1994003025</v>
      </c>
      <c r="Q82" s="53" t="s">
        <v>318</v>
      </c>
    </row>
    <row r="83" spans="1:17" ht="18.95" customHeight="1">
      <c r="A83" s="162" t="s">
        <v>359</v>
      </c>
      <c r="B83" s="587" t="s">
        <v>330</v>
      </c>
      <c r="C83" s="604"/>
      <c r="D83" s="214">
        <f>D84</f>
        <v>284087</v>
      </c>
      <c r="E83" s="215">
        <f>E84</f>
        <v>284086.75</v>
      </c>
      <c r="F83" s="132">
        <f>F84</f>
        <v>0</v>
      </c>
      <c r="G83" s="216">
        <f>G84</f>
        <v>-0.25</v>
      </c>
      <c r="H83" s="136">
        <f t="shared" si="4"/>
        <v>-8.8001210896661937E-5</v>
      </c>
      <c r="I83" s="122"/>
      <c r="J83" s="57"/>
      <c r="K83" s="67"/>
      <c r="L83" s="68"/>
      <c r="M83" s="524"/>
      <c r="N83" s="524"/>
      <c r="O83" s="213"/>
      <c r="P83" s="217">
        <f>SUM(P84)</f>
        <v>284086750</v>
      </c>
      <c r="Q83" s="218" t="s">
        <v>318</v>
      </c>
    </row>
    <row r="84" spans="1:17" ht="17.100000000000001" customHeight="1">
      <c r="A84" s="101"/>
      <c r="B84" s="532" t="s">
        <v>359</v>
      </c>
      <c r="C84" s="527" t="s">
        <v>341</v>
      </c>
      <c r="D84" s="516">
        <f>SUM(D85:D90)</f>
        <v>284087</v>
      </c>
      <c r="E84" s="202">
        <f>SUM(E85:E90)</f>
        <v>284086.75</v>
      </c>
      <c r="F84" s="219"/>
      <c r="G84" s="115">
        <f>E84-D84</f>
        <v>-0.25</v>
      </c>
      <c r="H84" s="526">
        <f>G84/D84*100</f>
        <v>-8.8001210896661937E-5</v>
      </c>
      <c r="I84" s="122"/>
      <c r="J84" s="57"/>
      <c r="K84" s="67"/>
      <c r="L84" s="68"/>
      <c r="M84" s="524"/>
      <c r="N84" s="601" t="s">
        <v>355</v>
      </c>
      <c r="O84" s="601"/>
      <c r="P84" s="57">
        <f>SUM(P85:P87)</f>
        <v>284086750</v>
      </c>
      <c r="Q84" s="53" t="s">
        <v>318</v>
      </c>
    </row>
    <row r="85" spans="1:17" ht="17.100000000000001" customHeight="1">
      <c r="A85" s="119"/>
      <c r="B85" s="540"/>
      <c r="C85" s="530" t="s">
        <v>148</v>
      </c>
      <c r="D85" s="155">
        <v>12000</v>
      </c>
      <c r="E85" s="156">
        <f>P85/1000</f>
        <v>12000</v>
      </c>
      <c r="F85" s="220"/>
      <c r="G85" s="115">
        <f>+E85-D85</f>
        <v>0</v>
      </c>
      <c r="H85" s="526">
        <f>G85/D85*100</f>
        <v>0</v>
      </c>
      <c r="I85" s="208" t="s">
        <v>148</v>
      </c>
      <c r="J85" s="209">
        <v>3000000</v>
      </c>
      <c r="K85" s="534" t="s">
        <v>318</v>
      </c>
      <c r="L85" s="210" t="s">
        <v>334</v>
      </c>
      <c r="M85" s="534">
        <v>4</v>
      </c>
      <c r="N85" s="534" t="s">
        <v>369</v>
      </c>
      <c r="O85" s="211" t="s">
        <v>336</v>
      </c>
      <c r="P85" s="209">
        <f>SUM(J85*M85)</f>
        <v>12000000</v>
      </c>
      <c r="Q85" s="160" t="s">
        <v>318</v>
      </c>
    </row>
    <row r="86" spans="1:17" ht="17.100000000000001" customHeight="1">
      <c r="A86" s="119"/>
      <c r="B86" s="540"/>
      <c r="C86" s="530" t="s">
        <v>208</v>
      </c>
      <c r="D86" s="155">
        <v>10533</v>
      </c>
      <c r="E86" s="194">
        <f>P86/1000</f>
        <v>10532.75</v>
      </c>
      <c r="F86" s="220"/>
      <c r="G86" s="115">
        <f>+E86-D86</f>
        <v>-0.25</v>
      </c>
      <c r="H86" s="535">
        <f>G86/D86*100</f>
        <v>-2.3734928320516472E-3</v>
      </c>
      <c r="I86" s="221" t="s">
        <v>407</v>
      </c>
      <c r="J86" s="209">
        <v>10532750</v>
      </c>
      <c r="K86" s="534" t="s">
        <v>318</v>
      </c>
      <c r="L86" s="534" t="s">
        <v>334</v>
      </c>
      <c r="M86" s="137">
        <v>1</v>
      </c>
      <c r="N86" s="534" t="s">
        <v>332</v>
      </c>
      <c r="O86" s="137" t="s">
        <v>336</v>
      </c>
      <c r="P86" s="209">
        <f>J86*M86</f>
        <v>10532750</v>
      </c>
      <c r="Q86" s="160" t="s">
        <v>318</v>
      </c>
    </row>
    <row r="87" spans="1:17" ht="17.100000000000001" customHeight="1">
      <c r="A87" s="119"/>
      <c r="B87" s="540"/>
      <c r="C87" s="583" t="s">
        <v>96</v>
      </c>
      <c r="D87" s="569">
        <v>261554</v>
      </c>
      <c r="E87" s="572">
        <f>+P87/1000</f>
        <v>261554</v>
      </c>
      <c r="F87" s="574">
        <v>6500</v>
      </c>
      <c r="G87" s="562">
        <f>+E87-D87</f>
        <v>0</v>
      </c>
      <c r="H87" s="602">
        <f t="shared" si="4"/>
        <v>0</v>
      </c>
      <c r="I87" s="122"/>
      <c r="J87" s="123"/>
      <c r="K87" s="524"/>
      <c r="L87" s="524"/>
      <c r="M87" s="564" t="s">
        <v>355</v>
      </c>
      <c r="N87" s="564"/>
      <c r="O87" s="564"/>
      <c r="P87" s="123">
        <f>SUM(P88:P90)</f>
        <v>261554000</v>
      </c>
      <c r="Q87" s="53" t="s">
        <v>318</v>
      </c>
    </row>
    <row r="88" spans="1:17" ht="17.100000000000001" customHeight="1">
      <c r="A88" s="119"/>
      <c r="B88" s="540"/>
      <c r="C88" s="584"/>
      <c r="D88" s="569"/>
      <c r="E88" s="572"/>
      <c r="F88" s="575"/>
      <c r="G88" s="562"/>
      <c r="H88" s="602" t="e">
        <f t="shared" si="4"/>
        <v>#DIV/0!</v>
      </c>
      <c r="I88" s="143" t="s">
        <v>28</v>
      </c>
      <c r="J88" s="222">
        <v>6500000</v>
      </c>
      <c r="K88" s="62" t="s">
        <v>318</v>
      </c>
      <c r="L88" s="61" t="s">
        <v>334</v>
      </c>
      <c r="M88" s="62">
        <v>1</v>
      </c>
      <c r="N88" s="62" t="s">
        <v>332</v>
      </c>
      <c r="O88" s="79" t="s">
        <v>336</v>
      </c>
      <c r="P88" s="222">
        <f>J88*M88</f>
        <v>6500000</v>
      </c>
      <c r="Q88" s="80" t="s">
        <v>318</v>
      </c>
    </row>
    <row r="89" spans="1:17" ht="17.100000000000001" customHeight="1">
      <c r="A89" s="119"/>
      <c r="B89" s="540"/>
      <c r="C89" s="584"/>
      <c r="D89" s="569"/>
      <c r="E89" s="572"/>
      <c r="F89" s="575"/>
      <c r="G89" s="562"/>
      <c r="H89" s="557"/>
      <c r="I89" s="173" t="s">
        <v>268</v>
      </c>
      <c r="J89" s="222">
        <v>217554000</v>
      </c>
      <c r="K89" s="62" t="s">
        <v>318</v>
      </c>
      <c r="L89" s="61" t="s">
        <v>334</v>
      </c>
      <c r="M89" s="62">
        <v>1</v>
      </c>
      <c r="N89" s="62" t="s">
        <v>332</v>
      </c>
      <c r="O89" s="79" t="s">
        <v>336</v>
      </c>
      <c r="P89" s="222">
        <f>J89*M89</f>
        <v>217554000</v>
      </c>
      <c r="Q89" s="80" t="s">
        <v>318</v>
      </c>
    </row>
    <row r="90" spans="1:17" ht="15.95" customHeight="1">
      <c r="A90" s="184"/>
      <c r="B90" s="185"/>
      <c r="C90" s="588"/>
      <c r="D90" s="589"/>
      <c r="E90" s="606"/>
      <c r="F90" s="605"/>
      <c r="G90" s="578">
        <f>+E90-D90</f>
        <v>0</v>
      </c>
      <c r="H90" s="603" t="e">
        <f t="shared" si="4"/>
        <v>#DIV/0!</v>
      </c>
      <c r="I90" s="223" t="s">
        <v>96</v>
      </c>
      <c r="J90" s="224">
        <v>12500000</v>
      </c>
      <c r="K90" s="225" t="s">
        <v>318</v>
      </c>
      <c r="L90" s="226" t="s">
        <v>334</v>
      </c>
      <c r="M90" s="225">
        <v>3</v>
      </c>
      <c r="N90" s="225" t="s">
        <v>332</v>
      </c>
      <c r="O90" s="227" t="s">
        <v>336</v>
      </c>
      <c r="P90" s="224">
        <f>SUM(J90*M90)</f>
        <v>37500000</v>
      </c>
      <c r="Q90" s="228" t="s">
        <v>318</v>
      </c>
    </row>
    <row r="99" spans="1:17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</row>
  </sheetData>
  <mergeCells count="123">
    <mergeCell ref="D9:D16"/>
    <mergeCell ref="E9:E16"/>
    <mergeCell ref="F25:F26"/>
    <mergeCell ref="A1:Q1"/>
    <mergeCell ref="F29:F30"/>
    <mergeCell ref="D17:D20"/>
    <mergeCell ref="M9:O9"/>
    <mergeCell ref="E4:E5"/>
    <mergeCell ref="A4:A5"/>
    <mergeCell ref="B27:C27"/>
    <mergeCell ref="F4:F5"/>
    <mergeCell ref="B4:B5"/>
    <mergeCell ref="M25:O25"/>
    <mergeCell ref="H29:H30"/>
    <mergeCell ref="E21:E22"/>
    <mergeCell ref="G21:G22"/>
    <mergeCell ref="H21:H22"/>
    <mergeCell ref="E29:E30"/>
    <mergeCell ref="G29:G30"/>
    <mergeCell ref="C4:C5"/>
    <mergeCell ref="G4:H4"/>
    <mergeCell ref="C17:C20"/>
    <mergeCell ref="E17:E20"/>
    <mergeCell ref="G9:G16"/>
    <mergeCell ref="H9:H16"/>
    <mergeCell ref="C29:C30"/>
    <mergeCell ref="I4:Q5"/>
    <mergeCell ref="O3:Q3"/>
    <mergeCell ref="F17:F20"/>
    <mergeCell ref="D4:D5"/>
    <mergeCell ref="E44:E48"/>
    <mergeCell ref="C50:C52"/>
    <mergeCell ref="D50:D52"/>
    <mergeCell ref="E50:E52"/>
    <mergeCell ref="C35:C39"/>
    <mergeCell ref="B23:C23"/>
    <mergeCell ref="D29:D30"/>
    <mergeCell ref="B31:C31"/>
    <mergeCell ref="D33:D34"/>
    <mergeCell ref="E33:E34"/>
    <mergeCell ref="M17:O17"/>
    <mergeCell ref="I25:J25"/>
    <mergeCell ref="C33:C34"/>
    <mergeCell ref="C21:C22"/>
    <mergeCell ref="D21:D22"/>
    <mergeCell ref="M21:O21"/>
    <mergeCell ref="B7:C7"/>
    <mergeCell ref="G17:G20"/>
    <mergeCell ref="A6:C6"/>
    <mergeCell ref="H17:H20"/>
    <mergeCell ref="C9:C16"/>
    <mergeCell ref="M87:O87"/>
    <mergeCell ref="N84:O84"/>
    <mergeCell ref="N79:O79"/>
    <mergeCell ref="H87:H90"/>
    <mergeCell ref="B83:C83"/>
    <mergeCell ref="F87:F90"/>
    <mergeCell ref="B78:C78"/>
    <mergeCell ref="C87:C90"/>
    <mergeCell ref="F64:F66"/>
    <mergeCell ref="G87:G90"/>
    <mergeCell ref="G64:G66"/>
    <mergeCell ref="D87:D90"/>
    <mergeCell ref="E87:E90"/>
    <mergeCell ref="C73:C77"/>
    <mergeCell ref="D73:D77"/>
    <mergeCell ref="E73:E77"/>
    <mergeCell ref="F73:F74"/>
    <mergeCell ref="G73:G77"/>
    <mergeCell ref="H73:H77"/>
    <mergeCell ref="M73:O73"/>
    <mergeCell ref="C67:C69"/>
    <mergeCell ref="D67:D69"/>
    <mergeCell ref="E67:E69"/>
    <mergeCell ref="F67:F69"/>
    <mergeCell ref="C64:C66"/>
    <mergeCell ref="B62:C62"/>
    <mergeCell ref="C44:C48"/>
    <mergeCell ref="D44:D48"/>
    <mergeCell ref="D35:D39"/>
    <mergeCell ref="D53:D61"/>
    <mergeCell ref="C53:C61"/>
    <mergeCell ref="E35:E39"/>
    <mergeCell ref="E53:E61"/>
    <mergeCell ref="C40:C43"/>
    <mergeCell ref="D40:D43"/>
    <mergeCell ref="E40:E43"/>
    <mergeCell ref="D64:D66"/>
    <mergeCell ref="E64:E66"/>
    <mergeCell ref="H53:H61"/>
    <mergeCell ref="M64:O64"/>
    <mergeCell ref="H64:H66"/>
    <mergeCell ref="M44:O44"/>
    <mergeCell ref="H33:H34"/>
    <mergeCell ref="H44:H48"/>
    <mergeCell ref="M35:O35"/>
    <mergeCell ref="M40:O40"/>
    <mergeCell ref="H50:H52"/>
    <mergeCell ref="M50:O50"/>
    <mergeCell ref="G40:G43"/>
    <mergeCell ref="H40:H43"/>
    <mergeCell ref="A3:B3"/>
    <mergeCell ref="G67:G69"/>
    <mergeCell ref="H67:H69"/>
    <mergeCell ref="M67:O67"/>
    <mergeCell ref="C70:C72"/>
    <mergeCell ref="D70:D72"/>
    <mergeCell ref="E70:E72"/>
    <mergeCell ref="F70:F72"/>
    <mergeCell ref="G70:G72"/>
    <mergeCell ref="H70:H72"/>
    <mergeCell ref="M70:O70"/>
    <mergeCell ref="G44:G48"/>
    <mergeCell ref="F35:F36"/>
    <mergeCell ref="H35:H39"/>
    <mergeCell ref="G35:G39"/>
    <mergeCell ref="F40:F41"/>
    <mergeCell ref="F33:F34"/>
    <mergeCell ref="F50:F52"/>
    <mergeCell ref="G50:G52"/>
    <mergeCell ref="G53:G61"/>
    <mergeCell ref="G33:G34"/>
    <mergeCell ref="F53:F61"/>
  </mergeCells>
  <phoneticPr fontId="9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3" manualBreakCount="3">
    <brk id="26" max="25" man="1"/>
    <brk id="52" max="25" man="1"/>
    <brk id="77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H316"/>
  <sheetViews>
    <sheetView tabSelected="1" view="pageBreakPreview" zoomScaleNormal="100" zoomScaleSheetLayoutView="100" workbookViewId="0">
      <pane ySplit="4" topLeftCell="A218" activePane="bottomLeft" state="frozen"/>
      <selection pane="bottomLeft" activeCell="S243" sqref="S243"/>
    </sheetView>
  </sheetViews>
  <sheetFormatPr defaultColWidth="9" defaultRowHeight="17.25"/>
  <cols>
    <col min="1" max="1" width="6.625" style="229" customWidth="1"/>
    <col min="2" max="2" width="6.625" style="198" customWidth="1"/>
    <col min="3" max="3" width="12.75" style="198" customWidth="1"/>
    <col min="4" max="4" width="13.125" style="230" customWidth="1"/>
    <col min="5" max="5" width="13.125" style="229" customWidth="1"/>
    <col min="6" max="6" width="13.125" style="229" hidden="1" customWidth="1"/>
    <col min="7" max="7" width="10.625" style="238" customWidth="1"/>
    <col min="8" max="8" width="8.625" style="239" customWidth="1"/>
    <col min="9" max="9" width="21.125" style="240" customWidth="1"/>
    <col min="10" max="10" width="12.75" style="112" customWidth="1"/>
    <col min="11" max="11" width="3.125" style="111" customWidth="1"/>
    <col min="12" max="12" width="3.125" style="241" customWidth="1"/>
    <col min="13" max="13" width="4.25" style="241" customWidth="1"/>
    <col min="14" max="15" width="3.125" style="241" customWidth="1"/>
    <col min="16" max="16" width="13.75" style="112" customWidth="1"/>
    <col min="17" max="17" width="2.625" style="111" customWidth="1"/>
    <col min="18" max="18" width="21.875" style="86" customWidth="1"/>
    <col min="19" max="19" width="29.25" style="86" customWidth="1"/>
    <col min="20" max="31" width="12.5" style="85" hidden="1" customWidth="1"/>
    <col min="32" max="32" width="13.625" style="86" bestFit="1" customWidth="1"/>
    <col min="33" max="33" width="13.125" style="242" customWidth="1"/>
    <col min="34" max="34" width="12.625" style="242" customWidth="1"/>
    <col min="35" max="35" width="12.625" style="85" customWidth="1"/>
    <col min="36" max="16384" width="9" style="85"/>
  </cols>
  <sheetData>
    <row r="1" spans="1:34" ht="20.25">
      <c r="A1" s="747" t="s">
        <v>231</v>
      </c>
      <c r="B1" s="747"/>
    </row>
    <row r="2" spans="1:34" ht="12.75" customHeight="1">
      <c r="A2" s="748"/>
      <c r="B2" s="748"/>
      <c r="C2" s="87"/>
      <c r="D2" s="243"/>
      <c r="E2" s="244"/>
      <c r="F2" s="244"/>
      <c r="G2" s="245"/>
      <c r="H2" s="246"/>
      <c r="I2" s="87" t="s">
        <v>349</v>
      </c>
      <c r="J2" s="244"/>
      <c r="K2" s="87"/>
      <c r="L2" s="87"/>
      <c r="M2" s="87"/>
      <c r="N2" s="87"/>
      <c r="O2" s="616" t="s">
        <v>51</v>
      </c>
      <c r="P2" s="616"/>
      <c r="Q2" s="616"/>
    </row>
    <row r="3" spans="1:34" ht="17.25" customHeight="1">
      <c r="A3" s="627" t="s">
        <v>331</v>
      </c>
      <c r="B3" s="611" t="s">
        <v>327</v>
      </c>
      <c r="C3" s="612" t="s">
        <v>335</v>
      </c>
      <c r="D3" s="706" t="s">
        <v>526</v>
      </c>
      <c r="E3" s="706" t="s">
        <v>527</v>
      </c>
      <c r="F3" s="743" t="s">
        <v>32</v>
      </c>
      <c r="G3" s="742" t="s">
        <v>117</v>
      </c>
      <c r="H3" s="742"/>
      <c r="I3" s="740" t="s">
        <v>525</v>
      </c>
      <c r="J3" s="740"/>
      <c r="K3" s="740"/>
      <c r="L3" s="740"/>
      <c r="M3" s="740"/>
      <c r="N3" s="740"/>
      <c r="O3" s="740"/>
      <c r="P3" s="740"/>
      <c r="Q3" s="740"/>
      <c r="R3" s="638" t="s">
        <v>375</v>
      </c>
    </row>
    <row r="4" spans="1:34" ht="20.25" customHeight="1">
      <c r="A4" s="628"/>
      <c r="B4" s="614"/>
      <c r="C4" s="615"/>
      <c r="D4" s="707"/>
      <c r="E4" s="707"/>
      <c r="F4" s="744"/>
      <c r="G4" s="247" t="s">
        <v>357</v>
      </c>
      <c r="H4" s="248" t="s">
        <v>362</v>
      </c>
      <c r="I4" s="741"/>
      <c r="J4" s="741"/>
      <c r="K4" s="741"/>
      <c r="L4" s="741"/>
      <c r="M4" s="741"/>
      <c r="N4" s="741"/>
      <c r="O4" s="741"/>
      <c r="P4" s="741"/>
      <c r="Q4" s="741"/>
      <c r="R4" s="639"/>
    </row>
    <row r="5" spans="1:34" ht="19.5" customHeight="1">
      <c r="A5" s="598" t="s">
        <v>364</v>
      </c>
      <c r="B5" s="599"/>
      <c r="C5" s="600"/>
      <c r="D5" s="249">
        <f>SUM(D6,D78,D85,D199,D297,D294)</f>
        <v>8574938.4798499998</v>
      </c>
      <c r="E5" s="249">
        <f>SUM(E6,E78,E85,E199,E297,E294)</f>
        <v>8671989.4235299993</v>
      </c>
      <c r="F5" s="250" t="e">
        <f>SUM(F6,F78,F85,F199,#REF!,F297)</f>
        <v>#REF!</v>
      </c>
      <c r="G5" s="251">
        <f>+E5-D5</f>
        <v>97050.94367999956</v>
      </c>
      <c r="H5" s="252">
        <f t="shared" ref="H5:H36" si="0">+G5/D5*100</f>
        <v>1.1317975505953397</v>
      </c>
      <c r="I5" s="253"/>
      <c r="J5" s="97"/>
      <c r="K5" s="98"/>
      <c r="L5" s="98"/>
      <c r="M5" s="97"/>
      <c r="N5" s="97"/>
      <c r="O5" s="254"/>
      <c r="P5" s="255">
        <f>SUM(P6,P78,P85,P199,P297,P294)</f>
        <v>8671988923.5299988</v>
      </c>
      <c r="Q5" s="256" t="s">
        <v>318</v>
      </c>
      <c r="R5" s="257"/>
    </row>
    <row r="6" spans="1:34" ht="20.100000000000001" customHeight="1">
      <c r="A6" s="101" t="s">
        <v>338</v>
      </c>
      <c r="B6" s="749" t="s">
        <v>330</v>
      </c>
      <c r="C6" s="750"/>
      <c r="D6" s="258">
        <f>SUM(D7,D35,D49)</f>
        <v>1904010</v>
      </c>
      <c r="E6" s="259">
        <f>SUM(E7,E35,E49)</f>
        <v>1969109.3399199997</v>
      </c>
      <c r="F6" s="260">
        <f>SUM(F7,F35,F49)</f>
        <v>869305</v>
      </c>
      <c r="G6" s="261">
        <f>+E6-D6</f>
        <v>65099.339919999707</v>
      </c>
      <c r="H6" s="262">
        <f t="shared" si="0"/>
        <v>3.4190650217173073</v>
      </c>
      <c r="I6" s="263"/>
      <c r="J6" s="264"/>
      <c r="K6" s="265"/>
      <c r="L6" s="266"/>
      <c r="M6" s="266"/>
      <c r="N6" s="266"/>
      <c r="O6" s="266"/>
      <c r="P6" s="267">
        <f>SUM(P7,P35,P49)</f>
        <v>1969109339.9200001</v>
      </c>
      <c r="Q6" s="268" t="s">
        <v>318</v>
      </c>
      <c r="R6" s="257"/>
    </row>
    <row r="7" spans="1:34" ht="20.100000000000001" customHeight="1">
      <c r="A7" s="269"/>
      <c r="B7" s="469" t="s">
        <v>348</v>
      </c>
      <c r="C7" s="270" t="s">
        <v>341</v>
      </c>
      <c r="D7" s="271">
        <f>SUM(D8:D33)</f>
        <v>1082326</v>
      </c>
      <c r="E7" s="272">
        <f>SUM(E8:E33)</f>
        <v>1057959.1999599999</v>
      </c>
      <c r="F7" s="273">
        <f>SUM(F8:F33)-1</f>
        <v>582084</v>
      </c>
      <c r="G7" s="274">
        <f>+E7-D7</f>
        <v>-24366.800040000118</v>
      </c>
      <c r="H7" s="275">
        <f t="shared" si="0"/>
        <v>-2.2513364771797146</v>
      </c>
      <c r="I7" s="276"/>
      <c r="J7" s="130"/>
      <c r="K7" s="77"/>
      <c r="L7" s="486"/>
      <c r="M7" s="486"/>
      <c r="N7" s="486"/>
      <c r="O7" s="486"/>
      <c r="P7" s="130">
        <f>SUM(P8,P13,P21,P23,P29)</f>
        <v>1057959199.96</v>
      </c>
      <c r="Q7" s="160" t="s">
        <v>318</v>
      </c>
      <c r="R7" s="277"/>
      <c r="T7" s="278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</row>
    <row r="8" spans="1:34" ht="15.95" customHeight="1">
      <c r="A8" s="269"/>
      <c r="B8" s="466"/>
      <c r="C8" s="692" t="s">
        <v>356</v>
      </c>
      <c r="D8" s="708">
        <v>769775</v>
      </c>
      <c r="E8" s="670">
        <f>P8/1000</f>
        <v>748314.2</v>
      </c>
      <c r="F8" s="473">
        <v>351377</v>
      </c>
      <c r="G8" s="670">
        <f>E8-D8</f>
        <v>-21460.800000000047</v>
      </c>
      <c r="H8" s="675">
        <f t="shared" si="0"/>
        <v>-2.7879315384365619</v>
      </c>
      <c r="I8" s="122"/>
      <c r="J8" s="123"/>
      <c r="K8" s="67"/>
      <c r="L8" s="461"/>
      <c r="M8" s="461" t="s">
        <v>355</v>
      </c>
      <c r="N8" s="461"/>
      <c r="O8" s="461"/>
      <c r="P8" s="123">
        <f>SUM(P9:P12)</f>
        <v>748314200</v>
      </c>
      <c r="Q8" s="53" t="s">
        <v>318</v>
      </c>
      <c r="R8" s="257"/>
      <c r="T8" s="86"/>
      <c r="U8" s="279"/>
      <c r="V8" s="86"/>
      <c r="W8" s="86"/>
      <c r="X8" s="86"/>
      <c r="Y8" s="86"/>
      <c r="Z8" s="86"/>
      <c r="AA8" s="86"/>
      <c r="AB8" s="86"/>
      <c r="AC8" s="86"/>
      <c r="AD8" s="86"/>
      <c r="AE8" s="86"/>
    </row>
    <row r="9" spans="1:34" ht="15.95" customHeight="1">
      <c r="A9" s="269"/>
      <c r="B9" s="466"/>
      <c r="C9" s="693"/>
      <c r="D9" s="709"/>
      <c r="E9" s="671"/>
      <c r="F9" s="475"/>
      <c r="G9" s="671"/>
      <c r="H9" s="676"/>
      <c r="I9" s="47" t="s">
        <v>374</v>
      </c>
      <c r="J9" s="40">
        <v>36595500</v>
      </c>
      <c r="K9" s="41" t="s">
        <v>318</v>
      </c>
      <c r="L9" s="42" t="s">
        <v>334</v>
      </c>
      <c r="M9" s="43">
        <v>12</v>
      </c>
      <c r="N9" s="43" t="s">
        <v>333</v>
      </c>
      <c r="O9" s="44" t="s">
        <v>336</v>
      </c>
      <c r="P9" s="235">
        <f>J9*M9</f>
        <v>439146000</v>
      </c>
      <c r="Q9" s="45" t="s">
        <v>318</v>
      </c>
      <c r="R9" s="257"/>
      <c r="T9" s="86"/>
      <c r="U9" s="280"/>
      <c r="V9" s="86"/>
      <c r="W9" s="86"/>
      <c r="X9" s="86"/>
      <c r="Y9" s="86"/>
      <c r="Z9" s="86"/>
      <c r="AA9" s="86"/>
      <c r="AB9" s="86"/>
      <c r="AC9" s="86"/>
      <c r="AD9" s="86"/>
      <c r="AE9" s="86"/>
    </row>
    <row r="10" spans="1:34" ht="15.95" customHeight="1">
      <c r="A10" s="269"/>
      <c r="B10" s="466"/>
      <c r="C10" s="693"/>
      <c r="D10" s="709"/>
      <c r="E10" s="671"/>
      <c r="F10" s="475"/>
      <c r="G10" s="671"/>
      <c r="H10" s="676"/>
      <c r="I10" s="47" t="s">
        <v>201</v>
      </c>
      <c r="J10" s="40">
        <v>31248000</v>
      </c>
      <c r="K10" s="41" t="s">
        <v>318</v>
      </c>
      <c r="L10" s="42" t="s">
        <v>334</v>
      </c>
      <c r="M10" s="43">
        <v>4.5</v>
      </c>
      <c r="N10" s="43" t="s">
        <v>332</v>
      </c>
      <c r="O10" s="44" t="s">
        <v>336</v>
      </c>
      <c r="P10" s="40">
        <f>J10*M10</f>
        <v>140616000</v>
      </c>
      <c r="Q10" s="45" t="s">
        <v>318</v>
      </c>
      <c r="R10" s="257"/>
      <c r="T10" s="86"/>
      <c r="U10" s="280"/>
      <c r="V10" s="86"/>
      <c r="W10" s="86"/>
      <c r="X10" s="86"/>
      <c r="Y10" s="86"/>
      <c r="Z10" s="86"/>
      <c r="AA10" s="86"/>
      <c r="AB10" s="86"/>
      <c r="AC10" s="86"/>
      <c r="AD10" s="86"/>
      <c r="AE10" s="86"/>
    </row>
    <row r="11" spans="1:34" ht="15.95" customHeight="1">
      <c r="A11" s="269"/>
      <c r="B11" s="466"/>
      <c r="C11" s="693"/>
      <c r="D11" s="709"/>
      <c r="E11" s="671"/>
      <c r="F11" s="474"/>
      <c r="G11" s="671"/>
      <c r="H11" s="676"/>
      <c r="I11" s="47" t="s">
        <v>133</v>
      </c>
      <c r="J11" s="40">
        <v>31416100</v>
      </c>
      <c r="K11" s="41" t="s">
        <v>318</v>
      </c>
      <c r="L11" s="42" t="s">
        <v>334</v>
      </c>
      <c r="M11" s="43">
        <v>2</v>
      </c>
      <c r="N11" s="43" t="s">
        <v>332</v>
      </c>
      <c r="O11" s="44" t="s">
        <v>336</v>
      </c>
      <c r="P11" s="40">
        <f>J11*M11</f>
        <v>62832200</v>
      </c>
      <c r="Q11" s="45" t="s">
        <v>318</v>
      </c>
      <c r="R11" s="257"/>
      <c r="T11" s="86"/>
      <c r="U11" s="280"/>
      <c r="V11" s="86"/>
      <c r="W11" s="86"/>
      <c r="X11" s="86"/>
      <c r="Y11" s="86"/>
      <c r="Z11" s="86"/>
      <c r="AA11" s="86"/>
      <c r="AB11" s="86"/>
      <c r="AC11" s="86"/>
      <c r="AD11" s="86"/>
      <c r="AE11" s="86"/>
    </row>
    <row r="12" spans="1:34" ht="15.95" customHeight="1">
      <c r="A12" s="269"/>
      <c r="B12" s="466"/>
      <c r="C12" s="694"/>
      <c r="D12" s="710"/>
      <c r="E12" s="678"/>
      <c r="F12" s="475"/>
      <c r="G12" s="678"/>
      <c r="H12" s="677"/>
      <c r="I12" s="125" t="s">
        <v>20</v>
      </c>
      <c r="J12" s="130">
        <v>8810000</v>
      </c>
      <c r="K12" s="77" t="s">
        <v>318</v>
      </c>
      <c r="L12" s="78" t="s">
        <v>334</v>
      </c>
      <c r="M12" s="486">
        <v>12</v>
      </c>
      <c r="N12" s="486" t="s">
        <v>333</v>
      </c>
      <c r="O12" s="64" t="s">
        <v>336</v>
      </c>
      <c r="P12" s="130">
        <f>J12*M12</f>
        <v>105720000</v>
      </c>
      <c r="Q12" s="66" t="s">
        <v>318</v>
      </c>
      <c r="R12" s="257"/>
      <c r="T12" s="86"/>
      <c r="U12" s="280"/>
      <c r="V12" s="86"/>
      <c r="W12" s="86"/>
      <c r="X12" s="86"/>
      <c r="Y12" s="86"/>
      <c r="Z12" s="86"/>
      <c r="AA12" s="86"/>
      <c r="AB12" s="86"/>
      <c r="AC12" s="86"/>
      <c r="AD12" s="86"/>
      <c r="AE12" s="86"/>
    </row>
    <row r="13" spans="1:34" s="111" customFormat="1" ht="15.95" customHeight="1">
      <c r="A13" s="119"/>
      <c r="B13" s="466"/>
      <c r="C13" s="692" t="s">
        <v>340</v>
      </c>
      <c r="D13" s="640">
        <v>113686</v>
      </c>
      <c r="E13" s="642">
        <f>+P13/1000</f>
        <v>110979.99996000002</v>
      </c>
      <c r="F13" s="647">
        <v>102644</v>
      </c>
      <c r="G13" s="670">
        <f t="shared" ref="G13:G58" si="1">+E13-D13</f>
        <v>-2706.0000399999844</v>
      </c>
      <c r="H13" s="672">
        <f t="shared" si="0"/>
        <v>-2.380240346216759</v>
      </c>
      <c r="I13" s="122"/>
      <c r="J13" s="123"/>
      <c r="K13" s="67"/>
      <c r="L13" s="461"/>
      <c r="M13" s="564" t="s">
        <v>355</v>
      </c>
      <c r="N13" s="564"/>
      <c r="O13" s="564"/>
      <c r="P13" s="123">
        <f>SUM(P14:P20)</f>
        <v>110979999.96000001</v>
      </c>
      <c r="Q13" s="53" t="s">
        <v>318</v>
      </c>
      <c r="R13" s="277"/>
      <c r="S13" s="112"/>
      <c r="AF13" s="86"/>
      <c r="AG13" s="242"/>
      <c r="AH13" s="242"/>
    </row>
    <row r="14" spans="1:34" s="111" customFormat="1" ht="15.95" customHeight="1">
      <c r="A14" s="119"/>
      <c r="B14" s="466"/>
      <c r="C14" s="693"/>
      <c r="D14" s="641"/>
      <c r="E14" s="643"/>
      <c r="F14" s="649"/>
      <c r="G14" s="671"/>
      <c r="H14" s="674"/>
      <c r="I14" s="47" t="s">
        <v>365</v>
      </c>
      <c r="J14" s="40">
        <v>3125000</v>
      </c>
      <c r="K14" s="41" t="s">
        <v>318</v>
      </c>
      <c r="L14" s="42" t="s">
        <v>334</v>
      </c>
      <c r="M14" s="43">
        <v>12</v>
      </c>
      <c r="N14" s="43" t="s">
        <v>333</v>
      </c>
      <c r="O14" s="44" t="s">
        <v>336</v>
      </c>
      <c r="P14" s="40">
        <f>(J14*M14)</f>
        <v>37500000</v>
      </c>
      <c r="Q14" s="45" t="s">
        <v>318</v>
      </c>
      <c r="R14" s="277"/>
      <c r="S14" s="112"/>
      <c r="AF14" s="86"/>
      <c r="AG14" s="242"/>
      <c r="AH14" s="242"/>
    </row>
    <row r="15" spans="1:34" s="111" customFormat="1" ht="15.95" customHeight="1">
      <c r="A15" s="119"/>
      <c r="B15" s="466"/>
      <c r="C15" s="693"/>
      <c r="D15" s="641"/>
      <c r="E15" s="643"/>
      <c r="F15" s="649"/>
      <c r="G15" s="671"/>
      <c r="H15" s="674"/>
      <c r="I15" s="47" t="s">
        <v>316</v>
      </c>
      <c r="J15" s="40">
        <v>835000</v>
      </c>
      <c r="K15" s="41" t="s">
        <v>318</v>
      </c>
      <c r="L15" s="42" t="s">
        <v>334</v>
      </c>
      <c r="M15" s="43">
        <v>12</v>
      </c>
      <c r="N15" s="43" t="s">
        <v>333</v>
      </c>
      <c r="O15" s="44" t="s">
        <v>336</v>
      </c>
      <c r="P15" s="40">
        <f t="shared" ref="P15:P20" si="2">(J15*M15)</f>
        <v>10020000</v>
      </c>
      <c r="Q15" s="45" t="s">
        <v>318</v>
      </c>
      <c r="R15" s="277"/>
      <c r="S15" s="112"/>
      <c r="AF15" s="86"/>
      <c r="AG15" s="242"/>
      <c r="AH15" s="242"/>
    </row>
    <row r="16" spans="1:34" s="111" customFormat="1" ht="15.95" customHeight="1">
      <c r="A16" s="119"/>
      <c r="B16" s="466"/>
      <c r="C16" s="693"/>
      <c r="D16" s="641"/>
      <c r="E16" s="643"/>
      <c r="F16" s="649"/>
      <c r="G16" s="671"/>
      <c r="H16" s="674"/>
      <c r="I16" s="47" t="s">
        <v>366</v>
      </c>
      <c r="J16" s="40">
        <v>1569000</v>
      </c>
      <c r="K16" s="41" t="s">
        <v>318</v>
      </c>
      <c r="L16" s="42" t="s">
        <v>334</v>
      </c>
      <c r="M16" s="43">
        <v>12</v>
      </c>
      <c r="N16" s="43" t="s">
        <v>333</v>
      </c>
      <c r="O16" s="44" t="s">
        <v>336</v>
      </c>
      <c r="P16" s="40">
        <f t="shared" si="2"/>
        <v>18828000</v>
      </c>
      <c r="Q16" s="45" t="s">
        <v>318</v>
      </c>
      <c r="R16" s="277"/>
      <c r="S16" s="112"/>
      <c r="AF16" s="86"/>
      <c r="AG16" s="242"/>
      <c r="AH16" s="242"/>
    </row>
    <row r="17" spans="1:34" s="111" customFormat="1" ht="15.95" customHeight="1">
      <c r="A17" s="119"/>
      <c r="B17" s="466"/>
      <c r="C17" s="693"/>
      <c r="D17" s="641"/>
      <c r="E17" s="643"/>
      <c r="F17" s="649"/>
      <c r="G17" s="671"/>
      <c r="H17" s="674"/>
      <c r="I17" s="47" t="s">
        <v>324</v>
      </c>
      <c r="J17" s="40">
        <v>1259000</v>
      </c>
      <c r="K17" s="41" t="s">
        <v>318</v>
      </c>
      <c r="L17" s="42" t="s">
        <v>334</v>
      </c>
      <c r="M17" s="43">
        <v>12</v>
      </c>
      <c r="N17" s="43" t="s">
        <v>333</v>
      </c>
      <c r="O17" s="44" t="s">
        <v>336</v>
      </c>
      <c r="P17" s="40">
        <f t="shared" si="2"/>
        <v>15108000</v>
      </c>
      <c r="Q17" s="45" t="s">
        <v>318</v>
      </c>
      <c r="R17" s="277"/>
      <c r="S17" s="112"/>
      <c r="AF17" s="86"/>
      <c r="AG17" s="242"/>
      <c r="AH17" s="242"/>
    </row>
    <row r="18" spans="1:34" s="111" customFormat="1" ht="15.95" customHeight="1">
      <c r="A18" s="119"/>
      <c r="B18" s="466"/>
      <c r="C18" s="693"/>
      <c r="D18" s="641"/>
      <c r="E18" s="643"/>
      <c r="F18" s="649"/>
      <c r="G18" s="671"/>
      <c r="H18" s="674"/>
      <c r="I18" s="47" t="s">
        <v>337</v>
      </c>
      <c r="J18" s="40">
        <v>1710333.33</v>
      </c>
      <c r="K18" s="41" t="s">
        <v>318</v>
      </c>
      <c r="L18" s="42" t="s">
        <v>334</v>
      </c>
      <c r="M18" s="43">
        <v>12</v>
      </c>
      <c r="N18" s="43" t="s">
        <v>333</v>
      </c>
      <c r="O18" s="44" t="s">
        <v>336</v>
      </c>
      <c r="P18" s="40">
        <f t="shared" si="2"/>
        <v>20523999.960000001</v>
      </c>
      <c r="Q18" s="45" t="s">
        <v>318</v>
      </c>
      <c r="R18" s="277"/>
      <c r="S18" s="112"/>
      <c r="AF18" s="86"/>
      <c r="AG18" s="242"/>
      <c r="AH18" s="242"/>
    </row>
    <row r="19" spans="1:34" s="111" customFormat="1" ht="15.95" customHeight="1">
      <c r="A19" s="119"/>
      <c r="B19" s="466"/>
      <c r="C19" s="693"/>
      <c r="D19" s="641"/>
      <c r="E19" s="643"/>
      <c r="F19" s="649"/>
      <c r="G19" s="671"/>
      <c r="H19" s="674"/>
      <c r="I19" s="128" t="s">
        <v>139</v>
      </c>
      <c r="J19" s="130">
        <v>150000</v>
      </c>
      <c r="K19" s="77" t="s">
        <v>318</v>
      </c>
      <c r="L19" s="78" t="s">
        <v>334</v>
      </c>
      <c r="M19" s="486">
        <v>12</v>
      </c>
      <c r="N19" s="486" t="s">
        <v>333</v>
      </c>
      <c r="O19" s="64" t="s">
        <v>336</v>
      </c>
      <c r="P19" s="130">
        <f t="shared" si="2"/>
        <v>1800000</v>
      </c>
      <c r="Q19" s="66" t="s">
        <v>318</v>
      </c>
      <c r="R19" s="277"/>
      <c r="S19" s="112"/>
      <c r="AF19" s="86"/>
      <c r="AG19" s="242"/>
      <c r="AH19" s="242"/>
    </row>
    <row r="20" spans="1:34" s="111" customFormat="1" ht="15.95" customHeight="1">
      <c r="A20" s="119"/>
      <c r="B20" s="466"/>
      <c r="C20" s="693"/>
      <c r="D20" s="641"/>
      <c r="E20" s="643"/>
      <c r="F20" s="475"/>
      <c r="G20" s="671"/>
      <c r="H20" s="674"/>
      <c r="I20" s="281" t="s">
        <v>493</v>
      </c>
      <c r="J20" s="130">
        <v>3600000</v>
      </c>
      <c r="K20" s="77" t="s">
        <v>318</v>
      </c>
      <c r="L20" s="78" t="s">
        <v>334</v>
      </c>
      <c r="M20" s="486">
        <v>2</v>
      </c>
      <c r="N20" s="486" t="s">
        <v>332</v>
      </c>
      <c r="O20" s="64" t="s">
        <v>336</v>
      </c>
      <c r="P20" s="130">
        <f t="shared" si="2"/>
        <v>7200000</v>
      </c>
      <c r="Q20" s="66" t="s">
        <v>318</v>
      </c>
      <c r="R20" s="277"/>
      <c r="S20" s="112"/>
      <c r="AF20" s="86"/>
      <c r="AG20" s="242"/>
      <c r="AH20" s="242"/>
    </row>
    <row r="21" spans="1:34" s="111" customFormat="1" ht="15.95" customHeight="1">
      <c r="A21" s="119"/>
      <c r="B21" s="466"/>
      <c r="C21" s="692" t="s">
        <v>181</v>
      </c>
      <c r="D21" s="640">
        <v>78415</v>
      </c>
      <c r="E21" s="642">
        <f>(+P21/1000)</f>
        <v>78415</v>
      </c>
      <c r="F21" s="647">
        <v>48032</v>
      </c>
      <c r="G21" s="670">
        <f>E21-D21</f>
        <v>0</v>
      </c>
      <c r="H21" s="672">
        <f t="shared" si="0"/>
        <v>0</v>
      </c>
      <c r="I21" s="498"/>
      <c r="J21" s="123"/>
      <c r="K21" s="67"/>
      <c r="L21" s="67"/>
      <c r="M21" s="564" t="s">
        <v>355</v>
      </c>
      <c r="N21" s="564"/>
      <c r="O21" s="564"/>
      <c r="P21" s="123">
        <f>SUM(P22:P22)</f>
        <v>78415000</v>
      </c>
      <c r="Q21" s="53" t="s">
        <v>318</v>
      </c>
      <c r="R21" s="277" t="s">
        <v>24</v>
      </c>
      <c r="S21" s="112"/>
      <c r="AF21" s="86"/>
      <c r="AG21" s="242"/>
      <c r="AH21" s="242"/>
    </row>
    <row r="22" spans="1:34" s="111" customFormat="1" ht="15.95" customHeight="1">
      <c r="A22" s="119"/>
      <c r="B22" s="466"/>
      <c r="C22" s="694"/>
      <c r="D22" s="679"/>
      <c r="E22" s="680"/>
      <c r="F22" s="648"/>
      <c r="G22" s="678">
        <f t="shared" si="1"/>
        <v>0</v>
      </c>
      <c r="H22" s="673" t="e">
        <f t="shared" si="0"/>
        <v>#DIV/0!</v>
      </c>
      <c r="I22" s="128" t="s">
        <v>181</v>
      </c>
      <c r="J22" s="130">
        <v>767941200</v>
      </c>
      <c r="K22" s="282" t="s">
        <v>318</v>
      </c>
      <c r="L22" s="486" t="s">
        <v>326</v>
      </c>
      <c r="M22" s="486">
        <v>12</v>
      </c>
      <c r="N22" s="486"/>
      <c r="O22" s="64" t="s">
        <v>336</v>
      </c>
      <c r="P22" s="130">
        <f>ROUND(J22/12,-1)+11542400+2877430+70</f>
        <v>78415000</v>
      </c>
      <c r="Q22" s="66" t="s">
        <v>318</v>
      </c>
      <c r="R22" s="277" t="s">
        <v>10</v>
      </c>
      <c r="S22" s="112"/>
      <c r="AF22" s="86"/>
      <c r="AG22" s="242"/>
      <c r="AH22" s="242"/>
    </row>
    <row r="23" spans="1:34" s="111" customFormat="1" ht="15.95" customHeight="1">
      <c r="A23" s="119"/>
      <c r="B23" s="466"/>
      <c r="C23" s="753" t="s">
        <v>294</v>
      </c>
      <c r="D23" s="682">
        <v>91060</v>
      </c>
      <c r="E23" s="686">
        <f>+P23/1000</f>
        <v>91060</v>
      </c>
      <c r="F23" s="684">
        <v>55737</v>
      </c>
      <c r="G23" s="690">
        <f t="shared" si="1"/>
        <v>0</v>
      </c>
      <c r="H23" s="689">
        <f t="shared" si="0"/>
        <v>0</v>
      </c>
      <c r="I23" s="498"/>
      <c r="J23" s="123"/>
      <c r="K23" s="67"/>
      <c r="L23" s="461"/>
      <c r="M23" s="564" t="s">
        <v>355</v>
      </c>
      <c r="N23" s="564"/>
      <c r="O23" s="564"/>
      <c r="P23" s="123">
        <f>SUM(P24:P28)</f>
        <v>91060000</v>
      </c>
      <c r="Q23" s="53" t="s">
        <v>318</v>
      </c>
      <c r="R23" s="277"/>
      <c r="S23" s="112"/>
      <c r="AF23" s="86"/>
      <c r="AG23" s="242"/>
      <c r="AH23" s="242"/>
    </row>
    <row r="24" spans="1:34" s="111" customFormat="1" ht="15.95" customHeight="1">
      <c r="A24" s="119"/>
      <c r="B24" s="466"/>
      <c r="C24" s="753"/>
      <c r="D24" s="682"/>
      <c r="E24" s="686"/>
      <c r="F24" s="684"/>
      <c r="G24" s="690">
        <f t="shared" si="1"/>
        <v>0</v>
      </c>
      <c r="H24" s="689" t="e">
        <f t="shared" si="0"/>
        <v>#DIV/0!</v>
      </c>
      <c r="I24" s="281" t="s">
        <v>144</v>
      </c>
      <c r="J24" s="130">
        <v>873661200</v>
      </c>
      <c r="K24" s="77" t="s">
        <v>318</v>
      </c>
      <c r="L24" s="78" t="s">
        <v>334</v>
      </c>
      <c r="M24" s="687">
        <v>4.4999999999999998E-2</v>
      </c>
      <c r="N24" s="687"/>
      <c r="O24" s="64" t="s">
        <v>336</v>
      </c>
      <c r="P24" s="130">
        <f>ROUNDUP(SUM(J24*M24),-3)</f>
        <v>39315000</v>
      </c>
      <c r="Q24" s="66" t="s">
        <v>318</v>
      </c>
      <c r="R24" s="277"/>
      <c r="S24" s="112"/>
      <c r="AF24" s="112"/>
      <c r="AG24" s="242"/>
      <c r="AH24" s="242"/>
    </row>
    <row r="25" spans="1:34" s="111" customFormat="1" ht="15.95" customHeight="1">
      <c r="A25" s="119"/>
      <c r="B25" s="466"/>
      <c r="C25" s="753"/>
      <c r="D25" s="682"/>
      <c r="E25" s="686"/>
      <c r="F25" s="684"/>
      <c r="G25" s="690">
        <f t="shared" si="1"/>
        <v>0</v>
      </c>
      <c r="H25" s="689" t="e">
        <f t="shared" si="0"/>
        <v>#DIV/0!</v>
      </c>
      <c r="I25" s="281" t="s">
        <v>171</v>
      </c>
      <c r="J25" s="130">
        <f>+J24</f>
        <v>873661200</v>
      </c>
      <c r="K25" s="77" t="s">
        <v>318</v>
      </c>
      <c r="L25" s="78" t="s">
        <v>334</v>
      </c>
      <c r="M25" s="688">
        <v>3.4299999999999997E-2</v>
      </c>
      <c r="N25" s="688"/>
      <c r="O25" s="486" t="s">
        <v>336</v>
      </c>
      <c r="P25" s="130">
        <f>ROUNDUP(SUM(J25*M25),-3)</f>
        <v>29967000</v>
      </c>
      <c r="Q25" s="66" t="s">
        <v>318</v>
      </c>
      <c r="R25" s="277"/>
      <c r="S25" s="112"/>
      <c r="AF25" s="112" t="s">
        <v>371</v>
      </c>
      <c r="AG25" s="242"/>
      <c r="AH25" s="242"/>
    </row>
    <row r="26" spans="1:34" s="111" customFormat="1" ht="15.95" customHeight="1">
      <c r="A26" s="119"/>
      <c r="B26" s="466"/>
      <c r="C26" s="753"/>
      <c r="D26" s="682"/>
      <c r="E26" s="686"/>
      <c r="F26" s="684"/>
      <c r="G26" s="690">
        <f t="shared" si="1"/>
        <v>0</v>
      </c>
      <c r="H26" s="689" t="e">
        <f t="shared" si="0"/>
        <v>#DIV/0!</v>
      </c>
      <c r="I26" s="281" t="s">
        <v>179</v>
      </c>
      <c r="J26" s="130">
        <f>+P25</f>
        <v>29967000</v>
      </c>
      <c r="K26" s="77" t="s">
        <v>318</v>
      </c>
      <c r="L26" s="78" t="s">
        <v>334</v>
      </c>
      <c r="M26" s="688">
        <v>0.1152</v>
      </c>
      <c r="N26" s="688"/>
      <c r="O26" s="486" t="s">
        <v>336</v>
      </c>
      <c r="P26" s="130">
        <f>ROUNDUP(SUM(J26*M26),-3)</f>
        <v>3453000</v>
      </c>
      <c r="Q26" s="66" t="s">
        <v>318</v>
      </c>
      <c r="R26" s="277"/>
      <c r="S26" s="112"/>
      <c r="AF26" s="112"/>
      <c r="AG26" s="242"/>
      <c r="AH26" s="242"/>
    </row>
    <row r="27" spans="1:34" s="111" customFormat="1" ht="15.95" customHeight="1">
      <c r="A27" s="119"/>
      <c r="B27" s="466"/>
      <c r="C27" s="753"/>
      <c r="D27" s="682"/>
      <c r="E27" s="686"/>
      <c r="F27" s="684"/>
      <c r="G27" s="690">
        <f t="shared" si="1"/>
        <v>0</v>
      </c>
      <c r="H27" s="689" t="e">
        <f t="shared" si="0"/>
        <v>#DIV/0!</v>
      </c>
      <c r="I27" s="281" t="s">
        <v>183</v>
      </c>
      <c r="J27" s="130">
        <v>767941200</v>
      </c>
      <c r="K27" s="77" t="s">
        <v>318</v>
      </c>
      <c r="L27" s="78" t="s">
        <v>334</v>
      </c>
      <c r="M27" s="688">
        <v>1.6500000000000001E-2</v>
      </c>
      <c r="N27" s="688"/>
      <c r="O27" s="486" t="s">
        <v>336</v>
      </c>
      <c r="P27" s="130">
        <f>ROUNDUP(SUM(J27*M27),-3)</f>
        <v>12672000</v>
      </c>
      <c r="Q27" s="66" t="s">
        <v>318</v>
      </c>
      <c r="R27" s="277"/>
      <c r="S27" s="112"/>
      <c r="AF27" s="112"/>
      <c r="AG27" s="242"/>
      <c r="AH27" s="242"/>
    </row>
    <row r="28" spans="1:34" s="111" customFormat="1" ht="15.95" customHeight="1">
      <c r="A28" s="119"/>
      <c r="B28" s="466"/>
      <c r="C28" s="753"/>
      <c r="D28" s="682"/>
      <c r="E28" s="686"/>
      <c r="F28" s="684"/>
      <c r="G28" s="690">
        <f t="shared" si="1"/>
        <v>0</v>
      </c>
      <c r="H28" s="689" t="e">
        <f t="shared" si="0"/>
        <v>#DIV/0!</v>
      </c>
      <c r="I28" s="283" t="s">
        <v>155</v>
      </c>
      <c r="J28" s="129">
        <v>767941200</v>
      </c>
      <c r="K28" s="71" t="s">
        <v>318</v>
      </c>
      <c r="L28" s="72" t="s">
        <v>334</v>
      </c>
      <c r="M28" s="683">
        <v>7.3600000000000002E-3</v>
      </c>
      <c r="N28" s="683"/>
      <c r="O28" s="73" t="s">
        <v>336</v>
      </c>
      <c r="P28" s="130">
        <f>ROUNDUP(SUM(J28*M28),-3)</f>
        <v>5653000</v>
      </c>
      <c r="Q28" s="75" t="s">
        <v>318</v>
      </c>
      <c r="R28" s="277" t="s">
        <v>41</v>
      </c>
      <c r="S28" s="112"/>
      <c r="AF28" s="112"/>
      <c r="AG28" s="242"/>
      <c r="AH28" s="242"/>
    </row>
    <row r="29" spans="1:34" s="111" customFormat="1" ht="15.95" customHeight="1">
      <c r="A29" s="119" t="s">
        <v>349</v>
      </c>
      <c r="B29" s="466"/>
      <c r="C29" s="692" t="s">
        <v>221</v>
      </c>
      <c r="D29" s="640">
        <v>29390</v>
      </c>
      <c r="E29" s="642">
        <f>+P29/1000</f>
        <v>29190</v>
      </c>
      <c r="F29" s="684">
        <v>24295</v>
      </c>
      <c r="G29" s="670">
        <f>+E29-D29</f>
        <v>-200</v>
      </c>
      <c r="H29" s="672">
        <f t="shared" si="0"/>
        <v>-0.68050357264375638</v>
      </c>
      <c r="I29" s="498"/>
      <c r="J29" s="123"/>
      <c r="K29" s="67"/>
      <c r="L29" s="461"/>
      <c r="M29" s="461" t="s">
        <v>355</v>
      </c>
      <c r="N29" s="461"/>
      <c r="O29" s="461"/>
      <c r="P29" s="123">
        <f>SUM(P30:P34)</f>
        <v>29190000</v>
      </c>
      <c r="Q29" s="53" t="s">
        <v>318</v>
      </c>
      <c r="R29" s="277"/>
      <c r="S29" s="112"/>
      <c r="AF29" s="112"/>
      <c r="AG29" s="242"/>
      <c r="AH29" s="242"/>
    </row>
    <row r="30" spans="1:34" s="111" customFormat="1" ht="15.95" customHeight="1">
      <c r="A30" s="119"/>
      <c r="B30" s="466"/>
      <c r="C30" s="693"/>
      <c r="D30" s="641"/>
      <c r="E30" s="643"/>
      <c r="F30" s="684"/>
      <c r="G30" s="671"/>
      <c r="H30" s="674"/>
      <c r="I30" s="281" t="s">
        <v>169</v>
      </c>
      <c r="J30" s="130">
        <v>7390000</v>
      </c>
      <c r="K30" s="77" t="s">
        <v>318</v>
      </c>
      <c r="L30" s="78" t="s">
        <v>334</v>
      </c>
      <c r="M30" s="486">
        <v>1</v>
      </c>
      <c r="N30" s="486" t="s">
        <v>332</v>
      </c>
      <c r="O30" s="64" t="s">
        <v>336</v>
      </c>
      <c r="P30" s="130">
        <v>7390000</v>
      </c>
      <c r="Q30" s="66" t="s">
        <v>318</v>
      </c>
      <c r="R30" s="277"/>
      <c r="S30" s="112"/>
      <c r="AF30" s="112"/>
      <c r="AG30" s="242"/>
      <c r="AH30" s="242"/>
    </row>
    <row r="31" spans="1:34" s="111" customFormat="1" ht="15.95" customHeight="1">
      <c r="A31" s="119"/>
      <c r="B31" s="466"/>
      <c r="C31" s="693"/>
      <c r="D31" s="641"/>
      <c r="E31" s="643"/>
      <c r="F31" s="684"/>
      <c r="G31" s="671"/>
      <c r="H31" s="674"/>
      <c r="I31" s="37" t="s">
        <v>70</v>
      </c>
      <c r="J31" s="40">
        <v>0</v>
      </c>
      <c r="K31" s="41" t="s">
        <v>318</v>
      </c>
      <c r="L31" s="42" t="s">
        <v>334</v>
      </c>
      <c r="M31" s="43">
        <v>4</v>
      </c>
      <c r="N31" s="43" t="s">
        <v>332</v>
      </c>
      <c r="O31" s="44" t="s">
        <v>336</v>
      </c>
      <c r="P31" s="40">
        <f>+J31*M31</f>
        <v>0</v>
      </c>
      <c r="Q31" s="45" t="s">
        <v>318</v>
      </c>
      <c r="R31" s="277"/>
      <c r="S31" s="112"/>
      <c r="AF31" s="112"/>
      <c r="AG31" s="242"/>
      <c r="AH31" s="242"/>
    </row>
    <row r="32" spans="1:34" s="111" customFormat="1" ht="15.95" customHeight="1">
      <c r="A32" s="119"/>
      <c r="B32" s="466"/>
      <c r="C32" s="693"/>
      <c r="D32" s="641"/>
      <c r="E32" s="643"/>
      <c r="F32" s="684"/>
      <c r="G32" s="671"/>
      <c r="H32" s="674"/>
      <c r="I32" s="281" t="s">
        <v>387</v>
      </c>
      <c r="J32" s="130">
        <v>3800000</v>
      </c>
      <c r="K32" s="77" t="s">
        <v>318</v>
      </c>
      <c r="L32" s="78" t="s">
        <v>334</v>
      </c>
      <c r="M32" s="486">
        <v>3</v>
      </c>
      <c r="N32" s="486" t="s">
        <v>332</v>
      </c>
      <c r="O32" s="64" t="s">
        <v>336</v>
      </c>
      <c r="P32" s="130">
        <f>+J32*M32</f>
        <v>11400000</v>
      </c>
      <c r="Q32" s="66" t="s">
        <v>318</v>
      </c>
      <c r="R32" s="277"/>
      <c r="S32" s="112"/>
      <c r="AF32" s="112"/>
      <c r="AG32" s="242"/>
      <c r="AH32" s="242"/>
    </row>
    <row r="33" spans="1:34" s="111" customFormat="1" ht="15.95" customHeight="1">
      <c r="A33" s="119"/>
      <c r="B33" s="466"/>
      <c r="C33" s="693"/>
      <c r="D33" s="641"/>
      <c r="E33" s="643"/>
      <c r="F33" s="685"/>
      <c r="G33" s="671"/>
      <c r="H33" s="674"/>
      <c r="I33" s="284" t="s">
        <v>31</v>
      </c>
      <c r="J33" s="130">
        <v>4750000</v>
      </c>
      <c r="K33" s="77" t="s">
        <v>318</v>
      </c>
      <c r="L33" s="78" t="s">
        <v>334</v>
      </c>
      <c r="M33" s="486">
        <v>2</v>
      </c>
      <c r="N33" s="486" t="s">
        <v>332</v>
      </c>
      <c r="O33" s="64" t="s">
        <v>336</v>
      </c>
      <c r="P33" s="130">
        <f>+J33*M33</f>
        <v>9500000</v>
      </c>
      <c r="Q33" s="66" t="s">
        <v>318</v>
      </c>
      <c r="R33" s="277" t="s">
        <v>405</v>
      </c>
      <c r="S33" s="112"/>
      <c r="AF33" s="112"/>
      <c r="AG33" s="242"/>
      <c r="AH33" s="242"/>
    </row>
    <row r="34" spans="1:34" s="111" customFormat="1" ht="15.95" customHeight="1">
      <c r="A34" s="119"/>
      <c r="B34" s="467"/>
      <c r="C34" s="694"/>
      <c r="D34" s="679"/>
      <c r="E34" s="680"/>
      <c r="F34" s="474"/>
      <c r="G34" s="678"/>
      <c r="H34" s="673"/>
      <c r="I34" s="283" t="s">
        <v>175</v>
      </c>
      <c r="J34" s="129">
        <v>300000</v>
      </c>
      <c r="K34" s="71" t="s">
        <v>318</v>
      </c>
      <c r="L34" s="72" t="s">
        <v>334</v>
      </c>
      <c r="M34" s="73">
        <v>3</v>
      </c>
      <c r="N34" s="73" t="s">
        <v>332</v>
      </c>
      <c r="O34" s="74" t="s">
        <v>336</v>
      </c>
      <c r="P34" s="129">
        <f>+J34*M34</f>
        <v>900000</v>
      </c>
      <c r="Q34" s="75" t="s">
        <v>318</v>
      </c>
      <c r="R34" s="277"/>
      <c r="S34" s="112"/>
      <c r="AF34" s="112"/>
      <c r="AG34" s="242"/>
      <c r="AH34" s="242"/>
    </row>
    <row r="35" spans="1:34" s="111" customFormat="1" ht="20.100000000000001" customHeight="1">
      <c r="A35" s="101" t="s">
        <v>338</v>
      </c>
      <c r="B35" s="285" t="s">
        <v>329</v>
      </c>
      <c r="C35" s="270" t="s">
        <v>341</v>
      </c>
      <c r="D35" s="271">
        <f>SUM(D36,D40,D43)</f>
        <v>9100</v>
      </c>
      <c r="E35" s="272">
        <f>SUM(E36:E48)</f>
        <v>6035.55</v>
      </c>
      <c r="F35" s="273">
        <f>SUM(F36,F43)</f>
        <v>12549</v>
      </c>
      <c r="G35" s="274">
        <f t="shared" si="1"/>
        <v>-3064.45</v>
      </c>
      <c r="H35" s="275">
        <f t="shared" si="0"/>
        <v>-33.675274725274726</v>
      </c>
      <c r="I35" s="286"/>
      <c r="J35" s="130"/>
      <c r="K35" s="77"/>
      <c r="L35" s="486"/>
      <c r="M35" s="486"/>
      <c r="N35" s="486"/>
      <c r="O35" s="486"/>
      <c r="P35" s="130">
        <f>SUM(P36,P40,P43)</f>
        <v>6035550</v>
      </c>
      <c r="Q35" s="66" t="s">
        <v>318</v>
      </c>
      <c r="R35" s="277"/>
      <c r="S35" s="112"/>
      <c r="AF35" s="112"/>
      <c r="AG35" s="242"/>
      <c r="AH35" s="242"/>
    </row>
    <row r="36" spans="1:34" s="111" customFormat="1" ht="15.95" customHeight="1">
      <c r="A36" s="119"/>
      <c r="B36" s="469" t="s">
        <v>350</v>
      </c>
      <c r="C36" s="692" t="s">
        <v>94</v>
      </c>
      <c r="D36" s="640">
        <v>2300</v>
      </c>
      <c r="E36" s="642">
        <f>+P36/1000</f>
        <v>2206.3000000000002</v>
      </c>
      <c r="F36" s="647">
        <v>9823</v>
      </c>
      <c r="G36" s="670">
        <f t="shared" si="1"/>
        <v>-93.699999999999818</v>
      </c>
      <c r="H36" s="675">
        <f t="shared" si="0"/>
        <v>-4.0739130434782531</v>
      </c>
      <c r="I36" s="499"/>
      <c r="J36" s="123"/>
      <c r="K36" s="67"/>
      <c r="L36" s="461"/>
      <c r="M36" s="564" t="s">
        <v>355</v>
      </c>
      <c r="N36" s="564"/>
      <c r="O36" s="564"/>
      <c r="P36" s="123">
        <f>SUM(P37:P39)</f>
        <v>2206300</v>
      </c>
      <c r="Q36" s="53" t="s">
        <v>318</v>
      </c>
      <c r="R36" s="277"/>
      <c r="S36" s="112"/>
      <c r="AF36" s="112"/>
      <c r="AG36" s="242"/>
      <c r="AH36" s="242"/>
    </row>
    <row r="37" spans="1:34" s="111" customFormat="1" ht="15.95" customHeight="1">
      <c r="A37" s="119"/>
      <c r="B37" s="466"/>
      <c r="C37" s="693"/>
      <c r="D37" s="641"/>
      <c r="E37" s="643"/>
      <c r="F37" s="649"/>
      <c r="G37" s="671"/>
      <c r="H37" s="676"/>
      <c r="I37" s="76" t="s">
        <v>83</v>
      </c>
      <c r="J37" s="130">
        <v>100000</v>
      </c>
      <c r="K37" s="77" t="s">
        <v>318</v>
      </c>
      <c r="L37" s="78" t="s">
        <v>334</v>
      </c>
      <c r="M37" s="486">
        <v>12</v>
      </c>
      <c r="N37" s="486" t="s">
        <v>333</v>
      </c>
      <c r="O37" s="64" t="s">
        <v>336</v>
      </c>
      <c r="P37" s="130">
        <v>500000</v>
      </c>
      <c r="Q37" s="66" t="s">
        <v>318</v>
      </c>
      <c r="R37" s="277"/>
      <c r="S37" s="112"/>
      <c r="AF37" s="112"/>
      <c r="AG37" s="242"/>
      <c r="AH37" s="242"/>
    </row>
    <row r="38" spans="1:34" s="111" customFormat="1" ht="15.95" customHeight="1">
      <c r="A38" s="119"/>
      <c r="B38" s="466"/>
      <c r="C38" s="693"/>
      <c r="D38" s="641"/>
      <c r="E38" s="643"/>
      <c r="F38" s="648"/>
      <c r="G38" s="671"/>
      <c r="H38" s="676"/>
      <c r="I38" s="37" t="s">
        <v>125</v>
      </c>
      <c r="J38" s="40">
        <v>6300</v>
      </c>
      <c r="K38" s="41" t="s">
        <v>318</v>
      </c>
      <c r="L38" s="42" t="s">
        <v>334</v>
      </c>
      <c r="M38" s="43">
        <v>1</v>
      </c>
      <c r="N38" s="43" t="s">
        <v>332</v>
      </c>
      <c r="O38" s="44" t="s">
        <v>336</v>
      </c>
      <c r="P38" s="40">
        <f>SUM(J38*M38)</f>
        <v>6300</v>
      </c>
      <c r="Q38" s="45" t="s">
        <v>318</v>
      </c>
      <c r="R38" s="277"/>
      <c r="S38" s="112"/>
      <c r="AF38" s="112"/>
      <c r="AG38" s="242"/>
      <c r="AH38" s="242"/>
    </row>
    <row r="39" spans="1:34" s="111" customFormat="1" ht="15.95" customHeight="1">
      <c r="A39" s="287"/>
      <c r="B39" s="466"/>
      <c r="C39" s="694"/>
      <c r="D39" s="679"/>
      <c r="E39" s="680"/>
      <c r="F39" s="475"/>
      <c r="G39" s="678"/>
      <c r="H39" s="677"/>
      <c r="I39" s="283" t="s">
        <v>419</v>
      </c>
      <c r="J39" s="130">
        <v>100000</v>
      </c>
      <c r="K39" s="77" t="s">
        <v>318</v>
      </c>
      <c r="L39" s="78" t="s">
        <v>334</v>
      </c>
      <c r="M39" s="486">
        <v>10</v>
      </c>
      <c r="N39" s="486" t="s">
        <v>332</v>
      </c>
      <c r="O39" s="64" t="s">
        <v>336</v>
      </c>
      <c r="P39" s="130">
        <v>1700000</v>
      </c>
      <c r="Q39" s="66" t="s">
        <v>318</v>
      </c>
      <c r="R39" s="277"/>
      <c r="S39" s="112"/>
      <c r="AF39" s="112"/>
      <c r="AG39" s="242"/>
      <c r="AH39" s="242"/>
    </row>
    <row r="40" spans="1:34" s="111" customFormat="1" ht="15.95" customHeight="1">
      <c r="A40" s="288"/>
      <c r="B40" s="469"/>
      <c r="C40" s="692" t="s">
        <v>200</v>
      </c>
      <c r="D40" s="640">
        <v>1300</v>
      </c>
      <c r="E40" s="642">
        <f>P40/1000</f>
        <v>900</v>
      </c>
      <c r="F40" s="473"/>
      <c r="G40" s="670">
        <f>E40-D40</f>
        <v>-400</v>
      </c>
      <c r="H40" s="672">
        <f>G40/D40*100</f>
        <v>-30.76923076923077</v>
      </c>
      <c r="I40" s="289"/>
      <c r="J40" s="123"/>
      <c r="K40" s="67"/>
      <c r="L40" s="461"/>
      <c r="M40" s="564" t="s">
        <v>355</v>
      </c>
      <c r="N40" s="564"/>
      <c r="O40" s="564"/>
      <c r="P40" s="123">
        <f>SUM(P41:P42)</f>
        <v>900000</v>
      </c>
      <c r="Q40" s="53" t="s">
        <v>318</v>
      </c>
      <c r="R40" s="277"/>
      <c r="S40" s="112"/>
      <c r="AF40" s="112"/>
      <c r="AG40" s="242"/>
      <c r="AH40" s="242"/>
    </row>
    <row r="41" spans="1:34" s="111" customFormat="1" ht="15.95" customHeight="1">
      <c r="A41" s="119"/>
      <c r="B41" s="469"/>
      <c r="C41" s="693"/>
      <c r="D41" s="641"/>
      <c r="E41" s="643"/>
      <c r="F41" s="475"/>
      <c r="G41" s="671"/>
      <c r="H41" s="674"/>
      <c r="I41" s="76" t="s">
        <v>47</v>
      </c>
      <c r="J41" s="130">
        <v>250000</v>
      </c>
      <c r="K41" s="77" t="s">
        <v>318</v>
      </c>
      <c r="L41" s="78" t="s">
        <v>334</v>
      </c>
      <c r="M41" s="486">
        <v>2</v>
      </c>
      <c r="N41" s="486" t="s">
        <v>332</v>
      </c>
      <c r="O41" s="64" t="s">
        <v>336</v>
      </c>
      <c r="P41" s="130">
        <f>SUM(J41*M41)</f>
        <v>500000</v>
      </c>
      <c r="Q41" s="66" t="s">
        <v>318</v>
      </c>
      <c r="R41" s="277"/>
      <c r="S41" s="112"/>
      <c r="AF41" s="112"/>
      <c r="AG41" s="242"/>
      <c r="AH41" s="242"/>
    </row>
    <row r="42" spans="1:34" s="111" customFormat="1" ht="15.95" customHeight="1">
      <c r="A42" s="119"/>
      <c r="B42" s="466"/>
      <c r="C42" s="694"/>
      <c r="D42" s="679"/>
      <c r="E42" s="680"/>
      <c r="F42" s="475"/>
      <c r="G42" s="678"/>
      <c r="H42" s="673"/>
      <c r="I42" s="39" t="s">
        <v>273</v>
      </c>
      <c r="J42" s="40">
        <v>100000</v>
      </c>
      <c r="K42" s="41" t="s">
        <v>318</v>
      </c>
      <c r="L42" s="42" t="s">
        <v>334</v>
      </c>
      <c r="M42" s="43">
        <v>4</v>
      </c>
      <c r="N42" s="43" t="s">
        <v>332</v>
      </c>
      <c r="O42" s="44" t="s">
        <v>336</v>
      </c>
      <c r="P42" s="40">
        <f>SUM(J42*M42)</f>
        <v>400000</v>
      </c>
      <c r="Q42" s="45" t="s">
        <v>318</v>
      </c>
      <c r="R42" s="277"/>
      <c r="S42" s="112"/>
      <c r="AF42" s="112"/>
      <c r="AG42" s="242"/>
      <c r="AH42" s="242"/>
    </row>
    <row r="43" spans="1:34" s="111" customFormat="1" ht="15.95" customHeight="1">
      <c r="A43" s="119"/>
      <c r="B43" s="466"/>
      <c r="C43" s="695" t="s">
        <v>328</v>
      </c>
      <c r="D43" s="640">
        <v>5500</v>
      </c>
      <c r="E43" s="642">
        <f>+P43/1000</f>
        <v>2929.25</v>
      </c>
      <c r="F43" s="647">
        <v>2726</v>
      </c>
      <c r="G43" s="670">
        <f t="shared" si="1"/>
        <v>-2570.75</v>
      </c>
      <c r="H43" s="672">
        <f>+G43/D43*100</f>
        <v>-46.740909090909085</v>
      </c>
      <c r="I43" s="499"/>
      <c r="J43" s="123"/>
      <c r="K43" s="67"/>
      <c r="L43" s="461"/>
      <c r="M43" s="564" t="s">
        <v>355</v>
      </c>
      <c r="N43" s="564"/>
      <c r="O43" s="564"/>
      <c r="P43" s="123">
        <f>SUM(P44:P48)</f>
        <v>2929250</v>
      </c>
      <c r="Q43" s="53" t="s">
        <v>318</v>
      </c>
      <c r="R43" s="277"/>
      <c r="S43" s="112"/>
      <c r="AF43" s="112"/>
      <c r="AG43" s="242"/>
      <c r="AH43" s="242"/>
    </row>
    <row r="44" spans="1:34" s="111" customFormat="1" ht="15.95" customHeight="1">
      <c r="A44" s="119"/>
      <c r="B44" s="466"/>
      <c r="C44" s="691"/>
      <c r="D44" s="641"/>
      <c r="E44" s="643"/>
      <c r="F44" s="649"/>
      <c r="G44" s="671">
        <f t="shared" si="1"/>
        <v>0</v>
      </c>
      <c r="H44" s="674" t="e">
        <f>+G44/D44*100</f>
        <v>#DIV/0!</v>
      </c>
      <c r="I44" s="39" t="s">
        <v>491</v>
      </c>
      <c r="J44" s="40">
        <v>279250</v>
      </c>
      <c r="K44" s="41" t="s">
        <v>318</v>
      </c>
      <c r="L44" s="42" t="s">
        <v>334</v>
      </c>
      <c r="M44" s="43">
        <v>1</v>
      </c>
      <c r="N44" s="43" t="s">
        <v>332</v>
      </c>
      <c r="O44" s="44" t="s">
        <v>336</v>
      </c>
      <c r="P44" s="40">
        <f>SUM(J44*M44)</f>
        <v>279250</v>
      </c>
      <c r="Q44" s="45" t="s">
        <v>318</v>
      </c>
      <c r="R44" s="277" t="s">
        <v>424</v>
      </c>
      <c r="S44" s="112"/>
      <c r="AF44" s="112"/>
      <c r="AG44" s="242"/>
      <c r="AH44" s="242"/>
    </row>
    <row r="45" spans="1:34" s="111" customFormat="1" ht="15.95" customHeight="1">
      <c r="A45" s="119"/>
      <c r="B45" s="466"/>
      <c r="C45" s="691"/>
      <c r="D45" s="641"/>
      <c r="E45" s="643"/>
      <c r="F45" s="649"/>
      <c r="G45" s="671"/>
      <c r="H45" s="674"/>
      <c r="I45" s="39" t="s">
        <v>89</v>
      </c>
      <c r="J45" s="40">
        <v>1750000</v>
      </c>
      <c r="K45" s="41" t="s">
        <v>318</v>
      </c>
      <c r="L45" s="42" t="s">
        <v>334</v>
      </c>
      <c r="M45" s="43">
        <v>1</v>
      </c>
      <c r="N45" s="43" t="s">
        <v>332</v>
      </c>
      <c r="O45" s="44" t="s">
        <v>336</v>
      </c>
      <c r="P45" s="40">
        <f>SUM(J45*M45)</f>
        <v>1750000</v>
      </c>
      <c r="Q45" s="45" t="s">
        <v>318</v>
      </c>
      <c r="R45" s="277" t="s">
        <v>424</v>
      </c>
      <c r="S45" s="112"/>
      <c r="AF45" s="112"/>
      <c r="AG45" s="242"/>
      <c r="AH45" s="242"/>
    </row>
    <row r="46" spans="1:34" s="111" customFormat="1" ht="15.95" customHeight="1">
      <c r="A46" s="119"/>
      <c r="B46" s="466"/>
      <c r="C46" s="691"/>
      <c r="D46" s="641"/>
      <c r="E46" s="643"/>
      <c r="F46" s="649"/>
      <c r="G46" s="671">
        <f t="shared" si="1"/>
        <v>0</v>
      </c>
      <c r="H46" s="674" t="e">
        <f t="shared" ref="H46:H56" si="3">+G46/D46*100</f>
        <v>#DIV/0!</v>
      </c>
      <c r="I46" s="76" t="s">
        <v>488</v>
      </c>
      <c r="J46" s="130">
        <v>500000</v>
      </c>
      <c r="K46" s="77" t="s">
        <v>318</v>
      </c>
      <c r="L46" s="78" t="s">
        <v>334</v>
      </c>
      <c r="M46" s="486">
        <v>1</v>
      </c>
      <c r="N46" s="486" t="s">
        <v>332</v>
      </c>
      <c r="O46" s="64" t="s">
        <v>336</v>
      </c>
      <c r="P46" s="130">
        <f>SUM(J46*M46)</f>
        <v>500000</v>
      </c>
      <c r="Q46" s="66" t="s">
        <v>318</v>
      </c>
      <c r="R46" s="277"/>
      <c r="S46" s="112"/>
      <c r="AF46" s="112"/>
      <c r="AG46" s="242"/>
      <c r="AH46" s="242"/>
    </row>
    <row r="47" spans="1:34" s="111" customFormat="1" ht="15.95" customHeight="1">
      <c r="A47" s="119"/>
      <c r="B47" s="466"/>
      <c r="C47" s="691"/>
      <c r="D47" s="641"/>
      <c r="E47" s="643"/>
      <c r="F47" s="649"/>
      <c r="G47" s="671"/>
      <c r="H47" s="674"/>
      <c r="I47" s="76" t="s">
        <v>269</v>
      </c>
      <c r="J47" s="130">
        <v>100000</v>
      </c>
      <c r="K47" s="77" t="s">
        <v>318</v>
      </c>
      <c r="L47" s="78" t="s">
        <v>334</v>
      </c>
      <c r="M47" s="486">
        <v>2</v>
      </c>
      <c r="N47" s="486" t="s">
        <v>332</v>
      </c>
      <c r="O47" s="64" t="s">
        <v>336</v>
      </c>
      <c r="P47" s="130">
        <f>SUM(J47*M47)</f>
        <v>200000</v>
      </c>
      <c r="Q47" s="66" t="s">
        <v>318</v>
      </c>
      <c r="R47" s="277"/>
      <c r="S47" s="112"/>
      <c r="AF47" s="112"/>
      <c r="AG47" s="242"/>
      <c r="AH47" s="242"/>
    </row>
    <row r="48" spans="1:34" s="111" customFormat="1" ht="15.95" customHeight="1">
      <c r="A48" s="119"/>
      <c r="B48" s="466"/>
      <c r="C48" s="691"/>
      <c r="D48" s="641"/>
      <c r="E48" s="643"/>
      <c r="F48" s="648"/>
      <c r="G48" s="671">
        <f t="shared" si="1"/>
        <v>0</v>
      </c>
      <c r="H48" s="674" t="e">
        <f t="shared" si="3"/>
        <v>#DIV/0!</v>
      </c>
      <c r="I48" s="39" t="s">
        <v>393</v>
      </c>
      <c r="J48" s="40">
        <v>100000</v>
      </c>
      <c r="K48" s="41" t="s">
        <v>318</v>
      </c>
      <c r="L48" s="42" t="s">
        <v>334</v>
      </c>
      <c r="M48" s="43">
        <v>2</v>
      </c>
      <c r="N48" s="43" t="s">
        <v>332</v>
      </c>
      <c r="O48" s="44" t="s">
        <v>336</v>
      </c>
      <c r="P48" s="40">
        <f>SUM(J48*M48)</f>
        <v>200000</v>
      </c>
      <c r="Q48" s="45" t="s">
        <v>318</v>
      </c>
      <c r="R48" s="277"/>
      <c r="S48" s="112"/>
      <c r="AF48" s="112"/>
      <c r="AG48" s="242"/>
      <c r="AH48" s="242"/>
    </row>
    <row r="49" spans="1:34" s="111" customFormat="1" ht="20.100000000000001" customHeight="1">
      <c r="A49" s="119"/>
      <c r="B49" s="201" t="s">
        <v>368</v>
      </c>
      <c r="C49" s="290" t="s">
        <v>341</v>
      </c>
      <c r="D49" s="291">
        <f>SUM(D50:D62,D63:D77)</f>
        <v>812584</v>
      </c>
      <c r="E49" s="292">
        <f>SUM(E50:E77)</f>
        <v>905114.5899599999</v>
      </c>
      <c r="F49" s="293">
        <f>SUM(F50:F62,F63:F77)</f>
        <v>274672</v>
      </c>
      <c r="G49" s="294">
        <f>E49-D49</f>
        <v>92530.589959999896</v>
      </c>
      <c r="H49" s="295">
        <f t="shared" si="3"/>
        <v>11.3872030411625</v>
      </c>
      <c r="I49" s="499"/>
      <c r="J49" s="123"/>
      <c r="K49" s="67"/>
      <c r="L49" s="67"/>
      <c r="M49" s="67"/>
      <c r="N49" s="67"/>
      <c r="O49" s="67"/>
      <c r="P49" s="118">
        <f>SUM(P50,P52,P59,P63,P68,P75)</f>
        <v>905114589.96000004</v>
      </c>
      <c r="Q49" s="53" t="s">
        <v>318</v>
      </c>
      <c r="R49" s="277"/>
      <c r="S49" s="112"/>
      <c r="AF49" s="112"/>
      <c r="AG49" s="242"/>
      <c r="AH49" s="242"/>
    </row>
    <row r="50" spans="1:34" s="111" customFormat="1" ht="15.95" customHeight="1">
      <c r="A50" s="119"/>
      <c r="B50" s="466"/>
      <c r="C50" s="695" t="s">
        <v>372</v>
      </c>
      <c r="D50" s="640">
        <v>500</v>
      </c>
      <c r="E50" s="642">
        <f>+P50/1000</f>
        <v>300</v>
      </c>
      <c r="F50" s="647">
        <v>107</v>
      </c>
      <c r="G50" s="670">
        <f t="shared" si="1"/>
        <v>-200</v>
      </c>
      <c r="H50" s="672">
        <f t="shared" si="3"/>
        <v>-40</v>
      </c>
      <c r="I50" s="499"/>
      <c r="J50" s="123"/>
      <c r="K50" s="67"/>
      <c r="L50" s="461"/>
      <c r="M50" s="461" t="s">
        <v>355</v>
      </c>
      <c r="N50" s="461"/>
      <c r="O50" s="461"/>
      <c r="P50" s="123">
        <f>SUM(P51)</f>
        <v>300000</v>
      </c>
      <c r="Q50" s="53" t="s">
        <v>318</v>
      </c>
      <c r="R50" s="277"/>
      <c r="S50" s="112"/>
      <c r="AF50" s="112"/>
      <c r="AG50" s="242"/>
      <c r="AH50" s="242"/>
    </row>
    <row r="51" spans="1:34" s="111" customFormat="1" ht="15.95" customHeight="1">
      <c r="A51" s="119"/>
      <c r="B51" s="296"/>
      <c r="C51" s="696"/>
      <c r="D51" s="679"/>
      <c r="E51" s="680"/>
      <c r="F51" s="648"/>
      <c r="G51" s="678">
        <f t="shared" si="1"/>
        <v>0</v>
      </c>
      <c r="H51" s="673" t="e">
        <f t="shared" si="3"/>
        <v>#DIV/0!</v>
      </c>
      <c r="I51" s="35" t="s">
        <v>241</v>
      </c>
      <c r="J51" s="31">
        <v>100000</v>
      </c>
      <c r="K51" s="24" t="s">
        <v>318</v>
      </c>
      <c r="L51" s="25" t="s">
        <v>334</v>
      </c>
      <c r="M51" s="26">
        <v>3</v>
      </c>
      <c r="N51" s="26" t="s">
        <v>332</v>
      </c>
      <c r="O51" s="27" t="s">
        <v>336</v>
      </c>
      <c r="P51" s="31">
        <f>SUM(J51*M51)</f>
        <v>300000</v>
      </c>
      <c r="Q51" s="28" t="s">
        <v>318</v>
      </c>
      <c r="R51" s="277"/>
      <c r="S51" s="112"/>
      <c r="AF51" s="112"/>
      <c r="AG51" s="242"/>
      <c r="AH51" s="242"/>
    </row>
    <row r="52" spans="1:34" s="111" customFormat="1" ht="15.95" customHeight="1">
      <c r="A52" s="119"/>
      <c r="B52" s="466"/>
      <c r="C52" s="697" t="s">
        <v>289</v>
      </c>
      <c r="D52" s="640">
        <v>208844</v>
      </c>
      <c r="E52" s="642">
        <f>+P52/1000</f>
        <v>208844</v>
      </c>
      <c r="F52" s="647">
        <v>27504</v>
      </c>
      <c r="G52" s="670">
        <f t="shared" si="1"/>
        <v>0</v>
      </c>
      <c r="H52" s="672">
        <f t="shared" si="3"/>
        <v>0</v>
      </c>
      <c r="I52" s="499"/>
      <c r="J52" s="123"/>
      <c r="K52" s="67"/>
      <c r="L52" s="67"/>
      <c r="M52" s="564" t="s">
        <v>355</v>
      </c>
      <c r="N52" s="564"/>
      <c r="O52" s="564"/>
      <c r="P52" s="118">
        <f>SUM(P53:P58)</f>
        <v>208844000</v>
      </c>
      <c r="Q52" s="53" t="s">
        <v>318</v>
      </c>
      <c r="R52" s="277"/>
      <c r="S52" s="112"/>
      <c r="AF52" s="112"/>
      <c r="AG52" s="242"/>
      <c r="AH52" s="242"/>
    </row>
    <row r="53" spans="1:34" s="111" customFormat="1" ht="15.95" customHeight="1">
      <c r="A53" s="119"/>
      <c r="B53" s="466"/>
      <c r="C53" s="698"/>
      <c r="D53" s="641"/>
      <c r="E53" s="643"/>
      <c r="F53" s="649"/>
      <c r="G53" s="671"/>
      <c r="H53" s="674"/>
      <c r="I53" s="76" t="s">
        <v>391</v>
      </c>
      <c r="J53" s="130">
        <v>15157000</v>
      </c>
      <c r="K53" s="77" t="s">
        <v>333</v>
      </c>
      <c r="L53" s="486" t="s">
        <v>334</v>
      </c>
      <c r="M53" s="486">
        <v>12</v>
      </c>
      <c r="N53" s="486" t="s">
        <v>333</v>
      </c>
      <c r="O53" s="486" t="s">
        <v>342</v>
      </c>
      <c r="P53" s="142">
        <f>J53*M53</f>
        <v>181884000</v>
      </c>
      <c r="Q53" s="66" t="s">
        <v>318</v>
      </c>
      <c r="R53" s="277"/>
      <c r="S53" s="112"/>
      <c r="AF53" s="112"/>
      <c r="AG53" s="242"/>
      <c r="AH53" s="242"/>
    </row>
    <row r="54" spans="1:34" s="111" customFormat="1" ht="15.95" customHeight="1">
      <c r="A54" s="119"/>
      <c r="B54" s="466"/>
      <c r="C54" s="691"/>
      <c r="D54" s="641"/>
      <c r="E54" s="643"/>
      <c r="F54" s="649"/>
      <c r="G54" s="671">
        <f t="shared" si="1"/>
        <v>0</v>
      </c>
      <c r="H54" s="674" t="e">
        <f t="shared" si="3"/>
        <v>#DIV/0!</v>
      </c>
      <c r="I54" s="76" t="s">
        <v>474</v>
      </c>
      <c r="J54" s="130">
        <v>2805000</v>
      </c>
      <c r="K54" s="77" t="s">
        <v>318</v>
      </c>
      <c r="L54" s="78" t="s">
        <v>334</v>
      </c>
      <c r="M54" s="486">
        <v>2</v>
      </c>
      <c r="N54" s="486" t="s">
        <v>332</v>
      </c>
      <c r="O54" s="64" t="s">
        <v>336</v>
      </c>
      <c r="P54" s="130">
        <f>SUM(J54*M54)</f>
        <v>5610000</v>
      </c>
      <c r="Q54" s="66" t="s">
        <v>318</v>
      </c>
      <c r="R54" s="277"/>
      <c r="S54" s="112"/>
      <c r="AF54" s="112"/>
      <c r="AG54" s="242"/>
      <c r="AH54" s="242"/>
    </row>
    <row r="55" spans="1:34" s="111" customFormat="1" ht="15.95" customHeight="1">
      <c r="A55" s="119"/>
      <c r="B55" s="466"/>
      <c r="C55" s="691"/>
      <c r="D55" s="641"/>
      <c r="E55" s="643"/>
      <c r="F55" s="649"/>
      <c r="G55" s="671"/>
      <c r="H55" s="674"/>
      <c r="I55" s="76" t="s">
        <v>431</v>
      </c>
      <c r="J55" s="130">
        <v>2875000</v>
      </c>
      <c r="K55" s="77" t="s">
        <v>318</v>
      </c>
      <c r="L55" s="78" t="s">
        <v>334</v>
      </c>
      <c r="M55" s="486">
        <v>2</v>
      </c>
      <c r="N55" s="486" t="s">
        <v>332</v>
      </c>
      <c r="O55" s="64" t="s">
        <v>336</v>
      </c>
      <c r="P55" s="130">
        <f>SUM(J55*M55)</f>
        <v>5750000</v>
      </c>
      <c r="Q55" s="66" t="s">
        <v>318</v>
      </c>
      <c r="R55" s="277"/>
      <c r="S55" s="112"/>
      <c r="AF55" s="112"/>
      <c r="AG55" s="242"/>
      <c r="AH55" s="242"/>
    </row>
    <row r="56" spans="1:34" s="111" customFormat="1" ht="15.95" customHeight="1">
      <c r="A56" s="119"/>
      <c r="B56" s="466"/>
      <c r="C56" s="691"/>
      <c r="D56" s="641"/>
      <c r="E56" s="643"/>
      <c r="F56" s="649"/>
      <c r="G56" s="671">
        <f t="shared" si="1"/>
        <v>0</v>
      </c>
      <c r="H56" s="674" t="e">
        <f t="shared" si="3"/>
        <v>#DIV/0!</v>
      </c>
      <c r="I56" s="76" t="s">
        <v>104</v>
      </c>
      <c r="J56" s="130">
        <v>900000</v>
      </c>
      <c r="K56" s="77" t="s">
        <v>318</v>
      </c>
      <c r="L56" s="78" t="s">
        <v>334</v>
      </c>
      <c r="M56" s="486">
        <v>12</v>
      </c>
      <c r="N56" s="486" t="s">
        <v>333</v>
      </c>
      <c r="O56" s="64" t="s">
        <v>336</v>
      </c>
      <c r="P56" s="130">
        <f>SUM(J56*M56)</f>
        <v>10800000</v>
      </c>
      <c r="Q56" s="66" t="s">
        <v>318</v>
      </c>
      <c r="R56" s="277"/>
      <c r="S56" s="112"/>
      <c r="AF56" s="112"/>
      <c r="AG56" s="242"/>
      <c r="AH56" s="242"/>
    </row>
    <row r="57" spans="1:34" s="111" customFormat="1" ht="15.95" customHeight="1">
      <c r="A57" s="119"/>
      <c r="B57" s="466"/>
      <c r="C57" s="691"/>
      <c r="D57" s="641"/>
      <c r="E57" s="643"/>
      <c r="F57" s="649"/>
      <c r="G57" s="671"/>
      <c r="H57" s="674"/>
      <c r="I57" s="76" t="s">
        <v>158</v>
      </c>
      <c r="J57" s="130">
        <v>200000</v>
      </c>
      <c r="K57" s="77" t="s">
        <v>318</v>
      </c>
      <c r="L57" s="78" t="s">
        <v>334</v>
      </c>
      <c r="M57" s="486">
        <v>12</v>
      </c>
      <c r="N57" s="486" t="s">
        <v>333</v>
      </c>
      <c r="O57" s="64" t="s">
        <v>336</v>
      </c>
      <c r="P57" s="130">
        <f>SUM(J57*M57)</f>
        <v>2400000</v>
      </c>
      <c r="Q57" s="66" t="s">
        <v>318</v>
      </c>
      <c r="R57" s="277"/>
      <c r="S57" s="112"/>
      <c r="AF57" s="112"/>
      <c r="AG57" s="242"/>
      <c r="AH57" s="242"/>
    </row>
    <row r="58" spans="1:34" s="111" customFormat="1" ht="15.95" customHeight="1">
      <c r="A58" s="119"/>
      <c r="B58" s="466"/>
      <c r="C58" s="696"/>
      <c r="D58" s="679"/>
      <c r="E58" s="680"/>
      <c r="F58" s="648"/>
      <c r="G58" s="678">
        <f t="shared" si="1"/>
        <v>0</v>
      </c>
      <c r="H58" s="673" t="e">
        <f t="shared" ref="H58:H68" si="4">+G58/D58*100</f>
        <v>#DIV/0!</v>
      </c>
      <c r="I58" s="69" t="s">
        <v>123</v>
      </c>
      <c r="J58" s="129">
        <v>200000</v>
      </c>
      <c r="K58" s="71" t="s">
        <v>318</v>
      </c>
      <c r="L58" s="72" t="s">
        <v>334</v>
      </c>
      <c r="M58" s="73">
        <v>12</v>
      </c>
      <c r="N58" s="73" t="s">
        <v>333</v>
      </c>
      <c r="O58" s="74" t="s">
        <v>336</v>
      </c>
      <c r="P58" s="129">
        <f>SUM(J58*M58)</f>
        <v>2400000</v>
      </c>
      <c r="Q58" s="75" t="s">
        <v>318</v>
      </c>
      <c r="R58" s="277"/>
      <c r="S58" s="112"/>
      <c r="AF58" s="112"/>
      <c r="AG58" s="242"/>
      <c r="AH58" s="242"/>
    </row>
    <row r="59" spans="1:34" s="111" customFormat="1" ht="15.95" customHeight="1">
      <c r="A59" s="119"/>
      <c r="B59" s="466"/>
      <c r="C59" s="691" t="s">
        <v>138</v>
      </c>
      <c r="D59" s="641">
        <v>8220</v>
      </c>
      <c r="E59" s="643">
        <f>P59/1000</f>
        <v>7020</v>
      </c>
      <c r="F59" s="649">
        <v>9102</v>
      </c>
      <c r="G59" s="671">
        <f>+E59-D59</f>
        <v>-1200</v>
      </c>
      <c r="H59" s="674">
        <f t="shared" si="4"/>
        <v>-14.5985401459854</v>
      </c>
      <c r="I59" s="76"/>
      <c r="J59" s="130"/>
      <c r="K59" s="77"/>
      <c r="L59" s="77"/>
      <c r="M59" s="681" t="s">
        <v>355</v>
      </c>
      <c r="N59" s="681"/>
      <c r="O59" s="681"/>
      <c r="P59" s="142">
        <f>SUM(P60:P62)</f>
        <v>7020000</v>
      </c>
      <c r="Q59" s="66" t="s">
        <v>318</v>
      </c>
      <c r="R59" s="277"/>
      <c r="S59" s="112"/>
      <c r="AF59" s="112"/>
      <c r="AG59" s="242"/>
      <c r="AH59" s="242"/>
    </row>
    <row r="60" spans="1:34" s="111" customFormat="1" ht="15.95" customHeight="1">
      <c r="A60" s="119"/>
      <c r="B60" s="466"/>
      <c r="C60" s="691"/>
      <c r="D60" s="641"/>
      <c r="E60" s="643"/>
      <c r="F60" s="649"/>
      <c r="G60" s="671">
        <f>+E60-D60</f>
        <v>0</v>
      </c>
      <c r="H60" s="674" t="e">
        <f t="shared" si="4"/>
        <v>#DIV/0!</v>
      </c>
      <c r="I60" s="39" t="s">
        <v>440</v>
      </c>
      <c r="J60" s="40">
        <v>300000</v>
      </c>
      <c r="K60" s="41" t="s">
        <v>318</v>
      </c>
      <c r="L60" s="42" t="s">
        <v>334</v>
      </c>
      <c r="M60" s="43">
        <v>12</v>
      </c>
      <c r="N60" s="43" t="s">
        <v>333</v>
      </c>
      <c r="O60" s="44" t="s">
        <v>336</v>
      </c>
      <c r="P60" s="40">
        <f>SUM(J60*M60)</f>
        <v>3600000</v>
      </c>
      <c r="Q60" s="45" t="s">
        <v>318</v>
      </c>
      <c r="R60" s="277"/>
      <c r="S60" s="112"/>
      <c r="AF60" s="112"/>
      <c r="AG60" s="242"/>
      <c r="AH60" s="242"/>
    </row>
    <row r="61" spans="1:34" s="111" customFormat="1" ht="15.95" customHeight="1">
      <c r="A61" s="119"/>
      <c r="B61" s="466"/>
      <c r="C61" s="691"/>
      <c r="D61" s="641"/>
      <c r="E61" s="643"/>
      <c r="F61" s="649"/>
      <c r="G61" s="671">
        <f>+E61-D61</f>
        <v>0</v>
      </c>
      <c r="H61" s="674" t="e">
        <f t="shared" si="4"/>
        <v>#DIV/0!</v>
      </c>
      <c r="I61" s="76" t="s">
        <v>107</v>
      </c>
      <c r="J61" s="130">
        <v>235000</v>
      </c>
      <c r="K61" s="77" t="s">
        <v>318</v>
      </c>
      <c r="L61" s="78" t="s">
        <v>334</v>
      </c>
      <c r="M61" s="486">
        <v>12</v>
      </c>
      <c r="N61" s="486" t="s">
        <v>333</v>
      </c>
      <c r="O61" s="64" t="s">
        <v>336</v>
      </c>
      <c r="P61" s="130">
        <f>SUM(J61*M61)</f>
        <v>2820000</v>
      </c>
      <c r="Q61" s="66" t="s">
        <v>318</v>
      </c>
      <c r="R61" s="277"/>
      <c r="S61" s="112"/>
      <c r="AF61" s="112"/>
      <c r="AG61" s="242"/>
      <c r="AH61" s="242"/>
    </row>
    <row r="62" spans="1:34" s="111" customFormat="1" ht="15.95" customHeight="1">
      <c r="A62" s="119"/>
      <c r="B62" s="466"/>
      <c r="C62" s="691"/>
      <c r="D62" s="641"/>
      <c r="E62" s="643"/>
      <c r="F62" s="649"/>
      <c r="G62" s="671">
        <f>+E62-D62</f>
        <v>0</v>
      </c>
      <c r="H62" s="674" t="e">
        <f t="shared" si="4"/>
        <v>#DIV/0!</v>
      </c>
      <c r="I62" s="76" t="s">
        <v>174</v>
      </c>
      <c r="J62" s="130">
        <v>50000</v>
      </c>
      <c r="K62" s="77" t="s">
        <v>318</v>
      </c>
      <c r="L62" s="78" t="s">
        <v>334</v>
      </c>
      <c r="M62" s="486">
        <v>12</v>
      </c>
      <c r="N62" s="486" t="s">
        <v>332</v>
      </c>
      <c r="O62" s="64" t="s">
        <v>336</v>
      </c>
      <c r="P62" s="130">
        <f>SUM(J62*M62)</f>
        <v>600000</v>
      </c>
      <c r="Q62" s="66" t="s">
        <v>318</v>
      </c>
      <c r="R62" s="277"/>
      <c r="S62" s="112"/>
      <c r="AF62" s="112"/>
      <c r="AG62" s="242"/>
      <c r="AH62" s="242"/>
    </row>
    <row r="63" spans="1:34" s="111" customFormat="1" ht="15.95" customHeight="1">
      <c r="A63" s="119" t="s">
        <v>349</v>
      </c>
      <c r="B63" s="466" t="s">
        <v>349</v>
      </c>
      <c r="C63" s="692" t="s">
        <v>90</v>
      </c>
      <c r="D63" s="640">
        <v>59569</v>
      </c>
      <c r="E63" s="642">
        <f>+P63/1000</f>
        <v>155279.59</v>
      </c>
      <c r="F63" s="647">
        <v>194780</v>
      </c>
      <c r="G63" s="670">
        <f>+E63-D63</f>
        <v>95710.59</v>
      </c>
      <c r="H63" s="672">
        <f t="shared" si="4"/>
        <v>160.67180916248384</v>
      </c>
      <c r="I63" s="499"/>
      <c r="J63" s="123"/>
      <c r="K63" s="67"/>
      <c r="L63" s="67"/>
      <c r="M63" s="564" t="s">
        <v>355</v>
      </c>
      <c r="N63" s="564"/>
      <c r="O63" s="564"/>
      <c r="P63" s="118">
        <f>SUM(P64:P67)</f>
        <v>155279590</v>
      </c>
      <c r="Q63" s="53" t="s">
        <v>318</v>
      </c>
      <c r="R63" s="277"/>
      <c r="S63" s="112"/>
      <c r="AF63" s="112"/>
      <c r="AG63" s="242"/>
      <c r="AH63" s="242"/>
    </row>
    <row r="64" spans="1:34" s="111" customFormat="1" ht="15.95" customHeight="1">
      <c r="A64" s="119"/>
      <c r="B64" s="466"/>
      <c r="C64" s="693"/>
      <c r="D64" s="641"/>
      <c r="E64" s="643"/>
      <c r="F64" s="649"/>
      <c r="G64" s="671"/>
      <c r="H64" s="674"/>
      <c r="I64" s="39" t="s">
        <v>551</v>
      </c>
      <c r="J64" s="40">
        <v>1782610.71</v>
      </c>
      <c r="K64" s="41" t="s">
        <v>318</v>
      </c>
      <c r="L64" s="42" t="s">
        <v>334</v>
      </c>
      <c r="M64" s="43">
        <v>14</v>
      </c>
      <c r="N64" s="43" t="s">
        <v>332</v>
      </c>
      <c r="O64" s="44" t="s">
        <v>336</v>
      </c>
      <c r="P64" s="40">
        <v>24956550</v>
      </c>
      <c r="Q64" s="45" t="s">
        <v>318</v>
      </c>
      <c r="R64" s="46"/>
      <c r="S64" s="112"/>
      <c r="AF64" s="112"/>
      <c r="AG64" s="242"/>
      <c r="AH64" s="242"/>
    </row>
    <row r="65" spans="1:34" s="111" customFormat="1" ht="15.95" customHeight="1">
      <c r="A65" s="119"/>
      <c r="B65" s="507"/>
      <c r="C65" s="693"/>
      <c r="D65" s="641"/>
      <c r="E65" s="643"/>
      <c r="F65" s="649"/>
      <c r="G65" s="671"/>
      <c r="H65" s="674"/>
      <c r="I65" s="39" t="s">
        <v>550</v>
      </c>
      <c r="J65" s="40">
        <v>125043450</v>
      </c>
      <c r="K65" s="41" t="s">
        <v>318</v>
      </c>
      <c r="L65" s="42" t="s">
        <v>334</v>
      </c>
      <c r="M65" s="43">
        <v>1</v>
      </c>
      <c r="N65" s="43" t="s">
        <v>332</v>
      </c>
      <c r="O65" s="44" t="s">
        <v>336</v>
      </c>
      <c r="P65" s="40">
        <f>SUM(J65*M65)</f>
        <v>125043450</v>
      </c>
      <c r="Q65" s="45" t="s">
        <v>318</v>
      </c>
      <c r="R65" s="46" t="s">
        <v>552</v>
      </c>
      <c r="S65" s="112"/>
      <c r="AF65" s="112"/>
      <c r="AG65" s="242"/>
      <c r="AH65" s="242"/>
    </row>
    <row r="66" spans="1:34" s="111" customFormat="1" ht="15.95" customHeight="1">
      <c r="A66" s="119"/>
      <c r="B66" s="466"/>
      <c r="C66" s="693"/>
      <c r="D66" s="641"/>
      <c r="E66" s="643"/>
      <c r="F66" s="649"/>
      <c r="G66" s="671"/>
      <c r="H66" s="674"/>
      <c r="I66" s="297" t="s">
        <v>367</v>
      </c>
      <c r="J66" s="130">
        <v>3808800</v>
      </c>
      <c r="K66" s="77" t="s">
        <v>318</v>
      </c>
      <c r="L66" s="78" t="s">
        <v>334</v>
      </c>
      <c r="M66" s="486">
        <v>1</v>
      </c>
      <c r="N66" s="486" t="s">
        <v>332</v>
      </c>
      <c r="O66" s="486" t="s">
        <v>336</v>
      </c>
      <c r="P66" s="130">
        <f>SUM(J66*M66)</f>
        <v>3808800</v>
      </c>
      <c r="Q66" s="66" t="s">
        <v>318</v>
      </c>
      <c r="R66" s="277"/>
      <c r="S66" s="112"/>
      <c r="AF66" s="112"/>
      <c r="AG66" s="242"/>
      <c r="AH66" s="242"/>
    </row>
    <row r="67" spans="1:34" s="111" customFormat="1" ht="15.95" customHeight="1">
      <c r="A67" s="119"/>
      <c r="B67" s="466"/>
      <c r="C67" s="694"/>
      <c r="D67" s="679"/>
      <c r="E67" s="680"/>
      <c r="F67" s="648"/>
      <c r="G67" s="678"/>
      <c r="H67" s="673"/>
      <c r="I67" s="35" t="s">
        <v>397</v>
      </c>
      <c r="J67" s="31">
        <v>735395</v>
      </c>
      <c r="K67" s="24" t="s">
        <v>318</v>
      </c>
      <c r="L67" s="25" t="s">
        <v>334</v>
      </c>
      <c r="M67" s="26">
        <v>2</v>
      </c>
      <c r="N67" s="26" t="s">
        <v>321</v>
      </c>
      <c r="O67" s="27" t="s">
        <v>336</v>
      </c>
      <c r="P67" s="31">
        <f>SUM(J67*M67)</f>
        <v>1470790</v>
      </c>
      <c r="Q67" s="28" t="s">
        <v>318</v>
      </c>
      <c r="R67" s="277"/>
      <c r="S67" s="112"/>
      <c r="AF67" s="112"/>
      <c r="AG67" s="242"/>
      <c r="AH67" s="242"/>
    </row>
    <row r="68" spans="1:34" s="111" customFormat="1" ht="15.95" customHeight="1">
      <c r="A68" s="101" t="s">
        <v>338</v>
      </c>
      <c r="B68" s="469" t="s">
        <v>368</v>
      </c>
      <c r="C68" s="692" t="s">
        <v>198</v>
      </c>
      <c r="D68" s="640">
        <v>533051</v>
      </c>
      <c r="E68" s="642">
        <f>+P68/1000</f>
        <v>531270.99995999993</v>
      </c>
      <c r="F68" s="473">
        <v>36590</v>
      </c>
      <c r="G68" s="670">
        <f>E68-D68</f>
        <v>-1780.0000400000717</v>
      </c>
      <c r="H68" s="675">
        <f t="shared" si="4"/>
        <v>-0.33392677998917025</v>
      </c>
      <c r="I68" s="298"/>
      <c r="J68" s="299"/>
      <c r="K68" s="67"/>
      <c r="L68" s="461"/>
      <c r="M68" s="564" t="s">
        <v>355</v>
      </c>
      <c r="N68" s="564"/>
      <c r="O68" s="564"/>
      <c r="P68" s="123">
        <f>SUM(P69:P74)</f>
        <v>531270999.95999998</v>
      </c>
      <c r="Q68" s="53" t="s">
        <v>318</v>
      </c>
      <c r="R68" s="277"/>
      <c r="S68" s="112"/>
      <c r="AF68" s="112"/>
      <c r="AG68" s="242"/>
      <c r="AH68" s="242"/>
    </row>
    <row r="69" spans="1:34" s="111" customFormat="1" ht="15.95" customHeight="1">
      <c r="A69" s="119"/>
      <c r="B69" s="466"/>
      <c r="C69" s="693"/>
      <c r="D69" s="641"/>
      <c r="E69" s="643"/>
      <c r="F69" s="475"/>
      <c r="G69" s="671"/>
      <c r="H69" s="676"/>
      <c r="I69" s="76" t="s">
        <v>277</v>
      </c>
      <c r="J69" s="130">
        <v>600000</v>
      </c>
      <c r="K69" s="77" t="s">
        <v>318</v>
      </c>
      <c r="L69" s="78" t="s">
        <v>334</v>
      </c>
      <c r="M69" s="486">
        <v>10</v>
      </c>
      <c r="N69" s="486" t="s">
        <v>361</v>
      </c>
      <c r="O69" s="64" t="s">
        <v>336</v>
      </c>
      <c r="P69" s="130">
        <v>6000000</v>
      </c>
      <c r="Q69" s="66" t="s">
        <v>318</v>
      </c>
      <c r="R69" s="277"/>
      <c r="S69" s="112"/>
      <c r="AF69" s="112"/>
      <c r="AG69" s="242"/>
      <c r="AH69" s="242"/>
    </row>
    <row r="70" spans="1:34" s="111" customFormat="1" ht="15.95" customHeight="1">
      <c r="A70" s="119"/>
      <c r="B70" s="466"/>
      <c r="C70" s="693"/>
      <c r="D70" s="641"/>
      <c r="E70" s="643"/>
      <c r="F70" s="475"/>
      <c r="G70" s="671"/>
      <c r="H70" s="676"/>
      <c r="I70" s="76" t="s">
        <v>149</v>
      </c>
      <c r="J70" s="130">
        <v>24650000</v>
      </c>
      <c r="K70" s="77" t="s">
        <v>318</v>
      </c>
      <c r="L70" s="78" t="s">
        <v>334</v>
      </c>
      <c r="M70" s="486">
        <v>20</v>
      </c>
      <c r="N70" s="486" t="s">
        <v>332</v>
      </c>
      <c r="O70" s="64" t="s">
        <v>336</v>
      </c>
      <c r="P70" s="130">
        <f t="shared" ref="P70:P74" si="5">SUM(J70*M70)</f>
        <v>493000000</v>
      </c>
      <c r="Q70" s="66" t="s">
        <v>318</v>
      </c>
      <c r="R70" s="277"/>
      <c r="S70" s="112"/>
      <c r="AF70" s="112"/>
      <c r="AG70" s="242"/>
      <c r="AH70" s="242"/>
    </row>
    <row r="71" spans="1:34" s="111" customFormat="1" ht="15.95" customHeight="1">
      <c r="A71" s="300"/>
      <c r="B71" s="301"/>
      <c r="C71" s="693"/>
      <c r="D71" s="641"/>
      <c r="E71" s="643"/>
      <c r="F71" s="475"/>
      <c r="G71" s="671"/>
      <c r="H71" s="676"/>
      <c r="I71" s="76" t="s">
        <v>87</v>
      </c>
      <c r="J71" s="130">
        <v>891000</v>
      </c>
      <c r="K71" s="77" t="s">
        <v>318</v>
      </c>
      <c r="L71" s="78" t="s">
        <v>334</v>
      </c>
      <c r="M71" s="486">
        <v>1</v>
      </c>
      <c r="N71" s="486" t="s">
        <v>332</v>
      </c>
      <c r="O71" s="64" t="s">
        <v>336</v>
      </c>
      <c r="P71" s="130">
        <f t="shared" si="5"/>
        <v>891000</v>
      </c>
      <c r="Q71" s="66" t="s">
        <v>318</v>
      </c>
      <c r="R71" s="277"/>
      <c r="S71" s="302"/>
      <c r="T71" s="233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302"/>
      <c r="AG71" s="302"/>
      <c r="AH71" s="302"/>
    </row>
    <row r="72" spans="1:34" s="111" customFormat="1" ht="15.95" customHeight="1">
      <c r="A72" s="300"/>
      <c r="B72" s="301"/>
      <c r="C72" s="693"/>
      <c r="D72" s="641"/>
      <c r="E72" s="643"/>
      <c r="F72" s="475"/>
      <c r="G72" s="671"/>
      <c r="H72" s="676"/>
      <c r="I72" s="505" t="s">
        <v>423</v>
      </c>
      <c r="J72" s="506">
        <v>100000</v>
      </c>
      <c r="K72" s="34" t="s">
        <v>318</v>
      </c>
      <c r="L72" s="19" t="s">
        <v>334</v>
      </c>
      <c r="M72" s="18">
        <v>16</v>
      </c>
      <c r="N72" s="18" t="s">
        <v>353</v>
      </c>
      <c r="O72" s="20" t="s">
        <v>336</v>
      </c>
      <c r="P72" s="40">
        <f t="shared" si="5"/>
        <v>1600000</v>
      </c>
      <c r="Q72" s="21" t="s">
        <v>318</v>
      </c>
      <c r="R72" s="304" t="s">
        <v>409</v>
      </c>
      <c r="S72" s="302"/>
      <c r="T72" s="233"/>
      <c r="U72" s="233"/>
      <c r="V72" s="233"/>
      <c r="W72" s="233"/>
      <c r="X72" s="233"/>
      <c r="Y72" s="233"/>
      <c r="Z72" s="233"/>
      <c r="AA72" s="233"/>
      <c r="AB72" s="233"/>
      <c r="AC72" s="233"/>
      <c r="AD72" s="233"/>
      <c r="AE72" s="233"/>
      <c r="AF72" s="302"/>
      <c r="AG72" s="302"/>
      <c r="AH72" s="302"/>
    </row>
    <row r="73" spans="1:34" s="111" customFormat="1" ht="15.95" customHeight="1">
      <c r="A73" s="119"/>
      <c r="B73" s="466"/>
      <c r="C73" s="693"/>
      <c r="D73" s="641"/>
      <c r="E73" s="643"/>
      <c r="F73" s="475"/>
      <c r="G73" s="671"/>
      <c r="H73" s="676"/>
      <c r="I73" s="39" t="s">
        <v>151</v>
      </c>
      <c r="J73" s="40">
        <v>2448333.33</v>
      </c>
      <c r="K73" s="41" t="s">
        <v>318</v>
      </c>
      <c r="L73" s="42" t="s">
        <v>334</v>
      </c>
      <c r="M73" s="43">
        <v>12</v>
      </c>
      <c r="N73" s="43" t="s">
        <v>332</v>
      </c>
      <c r="O73" s="44" t="s">
        <v>336</v>
      </c>
      <c r="P73" s="40">
        <f t="shared" si="5"/>
        <v>29379999.960000001</v>
      </c>
      <c r="Q73" s="45" t="s">
        <v>318</v>
      </c>
      <c r="R73" s="277" t="s">
        <v>542</v>
      </c>
      <c r="S73" s="112"/>
      <c r="AF73" s="112"/>
      <c r="AG73" s="242"/>
      <c r="AH73" s="242"/>
    </row>
    <row r="74" spans="1:34" s="111" customFormat="1" ht="15.95" customHeight="1">
      <c r="A74" s="119"/>
      <c r="B74" s="466"/>
      <c r="C74" s="694"/>
      <c r="D74" s="679"/>
      <c r="E74" s="680"/>
      <c r="F74" s="475"/>
      <c r="G74" s="678"/>
      <c r="H74" s="677"/>
      <c r="I74" s="39" t="s">
        <v>496</v>
      </c>
      <c r="J74" s="40">
        <v>400000</v>
      </c>
      <c r="K74" s="41" t="s">
        <v>318</v>
      </c>
      <c r="L74" s="42" t="s">
        <v>334</v>
      </c>
      <c r="M74" s="43">
        <v>1</v>
      </c>
      <c r="N74" s="43" t="s">
        <v>332</v>
      </c>
      <c r="O74" s="44" t="s">
        <v>336</v>
      </c>
      <c r="P74" s="40">
        <f t="shared" si="5"/>
        <v>400000</v>
      </c>
      <c r="Q74" s="45" t="s">
        <v>318</v>
      </c>
      <c r="R74" s="277"/>
      <c r="S74" s="112"/>
      <c r="AF74" s="112"/>
      <c r="AG74" s="242"/>
      <c r="AH74" s="242"/>
    </row>
    <row r="75" spans="1:34" s="111" customFormat="1" ht="15.95" customHeight="1">
      <c r="A75" s="119"/>
      <c r="B75" s="466"/>
      <c r="C75" s="695" t="s">
        <v>323</v>
      </c>
      <c r="D75" s="640">
        <v>2400</v>
      </c>
      <c r="E75" s="642">
        <f>+P75/1000</f>
        <v>2400</v>
      </c>
      <c r="F75" s="647">
        <v>6589</v>
      </c>
      <c r="G75" s="670">
        <f>+E75-D75</f>
        <v>0</v>
      </c>
      <c r="H75" s="672">
        <f>+G75/D75*100</f>
        <v>0</v>
      </c>
      <c r="I75" s="499"/>
      <c r="J75" s="123"/>
      <c r="K75" s="67"/>
      <c r="L75" s="461"/>
      <c r="M75" s="564" t="s">
        <v>355</v>
      </c>
      <c r="N75" s="564"/>
      <c r="O75" s="564"/>
      <c r="P75" s="123">
        <f>SUM(P76:P77)</f>
        <v>2400000</v>
      </c>
      <c r="Q75" s="53" t="s">
        <v>318</v>
      </c>
      <c r="R75" s="277"/>
      <c r="S75" s="112"/>
      <c r="AF75" s="112"/>
      <c r="AG75" s="242"/>
      <c r="AH75" s="242"/>
    </row>
    <row r="76" spans="1:34" s="111" customFormat="1" ht="15.95" customHeight="1">
      <c r="A76" s="119"/>
      <c r="B76" s="466"/>
      <c r="C76" s="691"/>
      <c r="D76" s="641"/>
      <c r="E76" s="643"/>
      <c r="F76" s="649"/>
      <c r="G76" s="671">
        <f>+E76-D76</f>
        <v>0</v>
      </c>
      <c r="H76" s="674" t="e">
        <f>+G76/D76*100</f>
        <v>#DIV/0!</v>
      </c>
      <c r="I76" s="76" t="s">
        <v>191</v>
      </c>
      <c r="J76" s="130">
        <v>50000</v>
      </c>
      <c r="K76" s="77" t="s">
        <v>318</v>
      </c>
      <c r="L76" s="486" t="s">
        <v>334</v>
      </c>
      <c r="M76" s="486">
        <v>12</v>
      </c>
      <c r="N76" s="486" t="s">
        <v>333</v>
      </c>
      <c r="O76" s="64" t="s">
        <v>336</v>
      </c>
      <c r="P76" s="130">
        <f>SUM(J76*M76)</f>
        <v>600000</v>
      </c>
      <c r="Q76" s="66" t="s">
        <v>318</v>
      </c>
      <c r="R76" s="277"/>
      <c r="S76" s="112"/>
      <c r="AF76" s="112"/>
      <c r="AG76" s="242"/>
      <c r="AH76" s="242"/>
    </row>
    <row r="77" spans="1:34" s="111" customFormat="1" ht="15.95" customHeight="1">
      <c r="A77" s="200"/>
      <c r="B77" s="467"/>
      <c r="C77" s="696"/>
      <c r="D77" s="679"/>
      <c r="E77" s="680"/>
      <c r="F77" s="648"/>
      <c r="G77" s="678">
        <f>+E77-D77</f>
        <v>0</v>
      </c>
      <c r="H77" s="673" t="e">
        <f>+G77/D77*100</f>
        <v>#DIV/0!</v>
      </c>
      <c r="I77" s="69" t="s">
        <v>80</v>
      </c>
      <c r="J77" s="129">
        <v>150000</v>
      </c>
      <c r="K77" s="71" t="s">
        <v>318</v>
      </c>
      <c r="L77" s="72" t="s">
        <v>334</v>
      </c>
      <c r="M77" s="73">
        <v>12</v>
      </c>
      <c r="N77" s="486" t="s">
        <v>333</v>
      </c>
      <c r="O77" s="74" t="s">
        <v>336</v>
      </c>
      <c r="P77" s="129">
        <f>SUM(J77*M77)</f>
        <v>1800000</v>
      </c>
      <c r="Q77" s="75" t="s">
        <v>318</v>
      </c>
      <c r="R77" s="277"/>
      <c r="S77" s="112"/>
      <c r="AF77" s="112"/>
      <c r="AG77" s="242"/>
      <c r="AH77" s="242"/>
    </row>
    <row r="78" spans="1:34" s="111" customFormat="1" ht="20.100000000000001" customHeight="1">
      <c r="A78" s="101" t="s">
        <v>317</v>
      </c>
      <c r="B78" s="624" t="s">
        <v>330</v>
      </c>
      <c r="C78" s="625"/>
      <c r="D78" s="305">
        <f>SUM(D79:D83)</f>
        <v>19916</v>
      </c>
      <c r="E78" s="306">
        <f>SUM(E79:E83)</f>
        <v>18916</v>
      </c>
      <c r="F78" s="307">
        <f>SUM(F79:F83)</f>
        <v>215364</v>
      </c>
      <c r="G78" s="308">
        <f>+E78-D78</f>
        <v>-1000</v>
      </c>
      <c r="H78" s="309">
        <f>+G78/D78*100</f>
        <v>-5.0210885720024097</v>
      </c>
      <c r="I78" s="76"/>
      <c r="J78" s="130"/>
      <c r="K78" s="77"/>
      <c r="L78" s="486"/>
      <c r="M78" s="486"/>
      <c r="N78" s="468"/>
      <c r="O78" s="486"/>
      <c r="P78" s="310">
        <f>SUM(P79,P81,P83)</f>
        <v>18916000</v>
      </c>
      <c r="Q78" s="110" t="s">
        <v>318</v>
      </c>
      <c r="R78" s="277"/>
      <c r="S78" s="112"/>
      <c r="AF78" s="112"/>
      <c r="AG78" s="242"/>
      <c r="AH78" s="242"/>
    </row>
    <row r="79" spans="1:34" s="111" customFormat="1" ht="16.5" customHeight="1">
      <c r="A79" s="101" t="s">
        <v>320</v>
      </c>
      <c r="B79" s="201" t="s">
        <v>315</v>
      </c>
      <c r="C79" s="695" t="s">
        <v>315</v>
      </c>
      <c r="D79" s="640">
        <v>3916</v>
      </c>
      <c r="E79" s="642">
        <f>+P79/1000</f>
        <v>3916</v>
      </c>
      <c r="F79" s="647">
        <v>290</v>
      </c>
      <c r="G79" s="670">
        <f>+E79-D79</f>
        <v>0</v>
      </c>
      <c r="H79" s="672">
        <f>G79/D79*100</f>
        <v>0</v>
      </c>
      <c r="I79" s="311"/>
      <c r="J79" s="123"/>
      <c r="K79" s="67"/>
      <c r="L79" s="68"/>
      <c r="M79" s="461" t="s">
        <v>355</v>
      </c>
      <c r="N79" s="461"/>
      <c r="O79" s="461"/>
      <c r="P79" s="123">
        <f>SUM(P80:P80)</f>
        <v>3916000</v>
      </c>
      <c r="Q79" s="53" t="s">
        <v>318</v>
      </c>
      <c r="R79" s="277"/>
      <c r="S79" s="112"/>
      <c r="AF79" s="112"/>
      <c r="AG79" s="242"/>
      <c r="AH79" s="242"/>
    </row>
    <row r="80" spans="1:34" s="111" customFormat="1" ht="16.5" customHeight="1">
      <c r="A80" s="119"/>
      <c r="B80" s="466"/>
      <c r="C80" s="696"/>
      <c r="D80" s="679"/>
      <c r="E80" s="680"/>
      <c r="F80" s="648"/>
      <c r="G80" s="678"/>
      <c r="H80" s="673"/>
      <c r="I80" s="312" t="s">
        <v>78</v>
      </c>
      <c r="J80" s="129">
        <v>3916000</v>
      </c>
      <c r="K80" s="71" t="s">
        <v>318</v>
      </c>
      <c r="L80" s="72" t="s">
        <v>334</v>
      </c>
      <c r="M80" s="73">
        <v>1</v>
      </c>
      <c r="N80" s="73" t="s">
        <v>332</v>
      </c>
      <c r="O80" s="74" t="s">
        <v>336</v>
      </c>
      <c r="P80" s="129">
        <f>SUM(J80*M80)</f>
        <v>3916000</v>
      </c>
      <c r="Q80" s="75" t="s">
        <v>318</v>
      </c>
      <c r="R80" s="277" t="s">
        <v>22</v>
      </c>
      <c r="S80" s="112"/>
      <c r="AF80" s="112"/>
      <c r="AG80" s="242"/>
      <c r="AH80" s="242"/>
    </row>
    <row r="81" spans="1:34" s="111" customFormat="1" ht="16.5" customHeight="1">
      <c r="A81" s="119"/>
      <c r="B81" s="466"/>
      <c r="C81" s="692" t="s">
        <v>129</v>
      </c>
      <c r="D81" s="640">
        <v>15000</v>
      </c>
      <c r="E81" s="642">
        <f>+P81/1000</f>
        <v>15000</v>
      </c>
      <c r="F81" s="647">
        <v>80074</v>
      </c>
      <c r="G81" s="670">
        <f>+E81-D81</f>
        <v>0</v>
      </c>
      <c r="H81" s="672">
        <f>+G81/D81*100</f>
        <v>0</v>
      </c>
      <c r="I81" s="313"/>
      <c r="J81" s="130"/>
      <c r="K81" s="77"/>
      <c r="L81" s="78"/>
      <c r="M81" s="486" t="s">
        <v>355</v>
      </c>
      <c r="N81" s="486"/>
      <c r="O81" s="486"/>
      <c r="P81" s="130">
        <f>SUM(P82:P82)</f>
        <v>15000000</v>
      </c>
      <c r="Q81" s="66" t="s">
        <v>318</v>
      </c>
      <c r="R81" s="277"/>
      <c r="S81" s="86"/>
      <c r="AF81" s="112"/>
      <c r="AG81" s="242"/>
      <c r="AH81" s="242"/>
    </row>
    <row r="82" spans="1:34" s="111" customFormat="1" ht="16.5" customHeight="1">
      <c r="A82" s="119"/>
      <c r="B82" s="466"/>
      <c r="C82" s="693"/>
      <c r="D82" s="641"/>
      <c r="E82" s="643"/>
      <c r="F82" s="649"/>
      <c r="G82" s="671"/>
      <c r="H82" s="674"/>
      <c r="I82" s="284" t="s">
        <v>492</v>
      </c>
      <c r="J82" s="130">
        <v>5000000</v>
      </c>
      <c r="K82" s="77" t="s">
        <v>318</v>
      </c>
      <c r="L82" s="78" t="s">
        <v>334</v>
      </c>
      <c r="M82" s="486">
        <v>3</v>
      </c>
      <c r="N82" s="486" t="s">
        <v>332</v>
      </c>
      <c r="O82" s="64" t="s">
        <v>336</v>
      </c>
      <c r="P82" s="130">
        <f>SUM(J82*M82)</f>
        <v>15000000</v>
      </c>
      <c r="Q82" s="66" t="s">
        <v>318</v>
      </c>
      <c r="R82" s="277" t="s">
        <v>69</v>
      </c>
      <c r="S82" s="112"/>
      <c r="AF82" s="112"/>
      <c r="AG82" s="242"/>
      <c r="AH82" s="242"/>
    </row>
    <row r="83" spans="1:34" s="111" customFormat="1" ht="16.5" customHeight="1">
      <c r="A83" s="119"/>
      <c r="B83" s="466"/>
      <c r="C83" s="711" t="s">
        <v>299</v>
      </c>
      <c r="D83" s="640">
        <v>1000</v>
      </c>
      <c r="E83" s="642">
        <f>+P83/1000</f>
        <v>0</v>
      </c>
      <c r="F83" s="647">
        <v>135000</v>
      </c>
      <c r="G83" s="670">
        <f>+E83-D83</f>
        <v>-1000</v>
      </c>
      <c r="H83" s="672">
        <f>+G83/D83*100</f>
        <v>-100</v>
      </c>
      <c r="I83" s="314"/>
      <c r="J83" s="123"/>
      <c r="K83" s="67"/>
      <c r="L83" s="68"/>
      <c r="M83" s="461" t="s">
        <v>355</v>
      </c>
      <c r="N83" s="461"/>
      <c r="O83" s="461"/>
      <c r="P83" s="123">
        <f>SUM(P84:P84)</f>
        <v>0</v>
      </c>
      <c r="Q83" s="53" t="s">
        <v>318</v>
      </c>
      <c r="R83" s="277"/>
      <c r="S83" s="112"/>
      <c r="AF83" s="112"/>
      <c r="AG83" s="242"/>
      <c r="AH83" s="242"/>
    </row>
    <row r="84" spans="1:34" s="111" customFormat="1" ht="16.5" customHeight="1">
      <c r="A84" s="184"/>
      <c r="B84" s="466"/>
      <c r="C84" s="712"/>
      <c r="D84" s="641"/>
      <c r="E84" s="643"/>
      <c r="F84" s="649"/>
      <c r="G84" s="671"/>
      <c r="H84" s="674"/>
      <c r="I84" s="33" t="s">
        <v>177</v>
      </c>
      <c r="J84" s="40">
        <v>0</v>
      </c>
      <c r="K84" s="41" t="s">
        <v>318</v>
      </c>
      <c r="L84" s="42" t="s">
        <v>334</v>
      </c>
      <c r="M84" s="43">
        <v>0</v>
      </c>
      <c r="N84" s="43" t="s">
        <v>332</v>
      </c>
      <c r="O84" s="44" t="s">
        <v>336</v>
      </c>
      <c r="P84" s="40">
        <f>J84*M84</f>
        <v>0</v>
      </c>
      <c r="Q84" s="45" t="s">
        <v>318</v>
      </c>
      <c r="R84" s="277"/>
      <c r="S84" s="112"/>
      <c r="AF84" s="112"/>
      <c r="AG84" s="242"/>
      <c r="AH84" s="242"/>
    </row>
    <row r="85" spans="1:34" ht="20.100000000000001" customHeight="1">
      <c r="A85" s="315" t="s">
        <v>363</v>
      </c>
      <c r="B85" s="703" t="s">
        <v>330</v>
      </c>
      <c r="C85" s="704"/>
      <c r="D85" s="316">
        <f>+D86+D99+D111+D131+D148+D159+D165+D170+D195+D178+D184</f>
        <v>714650</v>
      </c>
      <c r="E85" s="316">
        <f>+E86+E99+E111+E131+E148+E159+E165+E170+E195+E178+E184</f>
        <v>647093.17382000003</v>
      </c>
      <c r="F85" s="317" t="e">
        <f>+F86+F99+F131+#REF!+#REF!+#REF!+F148+F159+F170+#REF!+F195+F178+F184+#REF!</f>
        <v>#REF!</v>
      </c>
      <c r="G85" s="318">
        <f>+E85-D85</f>
        <v>-67556.826179999975</v>
      </c>
      <c r="H85" s="319">
        <f>+G85/D85*100</f>
        <v>-9.4531345665710447</v>
      </c>
      <c r="I85" s="320"/>
      <c r="J85" s="321"/>
      <c r="K85" s="322"/>
      <c r="L85" s="323"/>
      <c r="M85" s="323"/>
      <c r="N85" s="323"/>
      <c r="O85" s="323"/>
      <c r="P85" s="321">
        <f>+P86+P99+P111+P131+P148+P159+P165+P170+P178+P184+P195</f>
        <v>647092673.81999993</v>
      </c>
      <c r="Q85" s="324" t="s">
        <v>318</v>
      </c>
      <c r="R85" s="257"/>
    </row>
    <row r="86" spans="1:34" ht="20.100000000000001" customHeight="1">
      <c r="A86" s="269"/>
      <c r="B86" s="325" t="s">
        <v>264</v>
      </c>
      <c r="C86" s="465" t="s">
        <v>341</v>
      </c>
      <c r="D86" s="487">
        <f>SUM(D87:D96,D97:D98)</f>
        <v>71670</v>
      </c>
      <c r="E86" s="487">
        <f>SUM(E87:E96,E97:E98)</f>
        <v>68703.319960000008</v>
      </c>
      <c r="F86" s="326">
        <f>SUM(F87:F96)</f>
        <v>59008</v>
      </c>
      <c r="G86" s="491">
        <f>+E86-D86</f>
        <v>-2966.680039999992</v>
      </c>
      <c r="H86" s="490">
        <f>+G86/D86*100</f>
        <v>-4.1393610157666973</v>
      </c>
      <c r="I86" s="327"/>
      <c r="J86" s="209"/>
      <c r="K86" s="137"/>
      <c r="L86" s="468"/>
      <c r="M86" s="601" t="s">
        <v>355</v>
      </c>
      <c r="N86" s="601"/>
      <c r="O86" s="601"/>
      <c r="P86" s="209">
        <f>SUM(P87,P91,P93,P97)</f>
        <v>68703319.960000008</v>
      </c>
      <c r="Q86" s="160" t="s">
        <v>318</v>
      </c>
      <c r="R86" s="277"/>
    </row>
    <row r="87" spans="1:34" ht="15.95" customHeight="1">
      <c r="A87" s="269"/>
      <c r="B87" s="328" t="s">
        <v>102</v>
      </c>
      <c r="C87" s="697" t="s">
        <v>484</v>
      </c>
      <c r="D87" s="700">
        <v>16700</v>
      </c>
      <c r="E87" s="723">
        <f>+P87/1000</f>
        <v>16505.240000000002</v>
      </c>
      <c r="F87" s="666">
        <v>896</v>
      </c>
      <c r="G87" s="663">
        <f>+E87-D87</f>
        <v>-194.7599999999984</v>
      </c>
      <c r="H87" s="660">
        <f>+G87/D87*100</f>
        <v>-1.16622754491017</v>
      </c>
      <c r="I87" s="499"/>
      <c r="J87" s="57"/>
      <c r="K87" s="67"/>
      <c r="L87" s="67"/>
      <c r="M87" s="564" t="s">
        <v>355</v>
      </c>
      <c r="N87" s="564"/>
      <c r="O87" s="564"/>
      <c r="P87" s="118">
        <f>SUM(P88:P90)</f>
        <v>16505240</v>
      </c>
      <c r="Q87" s="53" t="s">
        <v>318</v>
      </c>
      <c r="R87" s="329"/>
    </row>
    <row r="88" spans="1:34" ht="15.95" customHeight="1">
      <c r="A88" s="269"/>
      <c r="B88" s="285"/>
      <c r="C88" s="698"/>
      <c r="D88" s="701"/>
      <c r="E88" s="724"/>
      <c r="F88" s="667"/>
      <c r="G88" s="664"/>
      <c r="H88" s="661"/>
      <c r="I88" s="36" t="s">
        <v>471</v>
      </c>
      <c r="J88" s="30">
        <v>3008000</v>
      </c>
      <c r="K88" s="41" t="s">
        <v>318</v>
      </c>
      <c r="L88" s="42" t="s">
        <v>334</v>
      </c>
      <c r="M88" s="43">
        <v>5</v>
      </c>
      <c r="N88" s="43" t="s">
        <v>528</v>
      </c>
      <c r="O88" s="44" t="s">
        <v>336</v>
      </c>
      <c r="P88" s="30">
        <f>SUM(J88*M88)</f>
        <v>15040000</v>
      </c>
      <c r="Q88" s="45" t="s">
        <v>318</v>
      </c>
      <c r="R88" s="277" t="s">
        <v>506</v>
      </c>
    </row>
    <row r="89" spans="1:34" ht="15.95" customHeight="1">
      <c r="A89" s="269"/>
      <c r="B89" s="285"/>
      <c r="C89" s="698"/>
      <c r="D89" s="701"/>
      <c r="E89" s="724"/>
      <c r="F89" s="667"/>
      <c r="G89" s="664"/>
      <c r="H89" s="661"/>
      <c r="I89" s="313" t="s">
        <v>482</v>
      </c>
      <c r="J89" s="65">
        <v>600000</v>
      </c>
      <c r="K89" s="77" t="s">
        <v>318</v>
      </c>
      <c r="L89" s="486" t="s">
        <v>334</v>
      </c>
      <c r="M89" s="486">
        <v>2</v>
      </c>
      <c r="N89" s="486" t="s">
        <v>539</v>
      </c>
      <c r="O89" s="64" t="s">
        <v>336</v>
      </c>
      <c r="P89" s="65">
        <f>SUM(J89*M89)</f>
        <v>1200000</v>
      </c>
      <c r="Q89" s="66" t="s">
        <v>318</v>
      </c>
      <c r="R89" s="277" t="s">
        <v>73</v>
      </c>
    </row>
    <row r="90" spans="1:34" ht="15.95" customHeight="1">
      <c r="A90" s="269"/>
      <c r="B90" s="466"/>
      <c r="C90" s="699"/>
      <c r="D90" s="702"/>
      <c r="E90" s="725"/>
      <c r="F90" s="668"/>
      <c r="G90" s="665">
        <f>+E90-D90</f>
        <v>0</v>
      </c>
      <c r="H90" s="662" t="e">
        <f>+G90/D90*100</f>
        <v>#DIV/0!</v>
      </c>
      <c r="I90" s="35" t="s">
        <v>408</v>
      </c>
      <c r="J90" s="23">
        <v>132620</v>
      </c>
      <c r="K90" s="24" t="s">
        <v>318</v>
      </c>
      <c r="L90" s="26" t="s">
        <v>334</v>
      </c>
      <c r="M90" s="26">
        <v>2</v>
      </c>
      <c r="N90" s="26" t="s">
        <v>332</v>
      </c>
      <c r="O90" s="27" t="s">
        <v>336</v>
      </c>
      <c r="P90" s="23">
        <f>SUM(J90*M90)</f>
        <v>265240</v>
      </c>
      <c r="Q90" s="28" t="s">
        <v>318</v>
      </c>
      <c r="R90" s="277" t="s">
        <v>73</v>
      </c>
    </row>
    <row r="91" spans="1:34" ht="15.95" customHeight="1">
      <c r="A91" s="269"/>
      <c r="B91" s="466"/>
      <c r="C91" s="751" t="s">
        <v>384</v>
      </c>
      <c r="D91" s="657">
        <v>6000</v>
      </c>
      <c r="E91" s="644">
        <f>+P91/1000</f>
        <v>6000</v>
      </c>
      <c r="F91" s="647">
        <v>8000</v>
      </c>
      <c r="G91" s="654">
        <f>+E91-D91</f>
        <v>0</v>
      </c>
      <c r="H91" s="650">
        <f>+G91/D91*100</f>
        <v>0</v>
      </c>
      <c r="I91" s="498"/>
      <c r="J91" s="57"/>
      <c r="K91" s="67"/>
      <c r="L91" s="68"/>
      <c r="M91" s="564" t="s">
        <v>355</v>
      </c>
      <c r="N91" s="564"/>
      <c r="O91" s="564"/>
      <c r="P91" s="57">
        <f>SUM(P92:P92)</f>
        <v>6000000</v>
      </c>
      <c r="Q91" s="53" t="s">
        <v>318</v>
      </c>
      <c r="R91" s="329"/>
    </row>
    <row r="92" spans="1:34" ht="15.95" customHeight="1">
      <c r="A92" s="269"/>
      <c r="B92" s="466"/>
      <c r="C92" s="752"/>
      <c r="D92" s="659"/>
      <c r="E92" s="646"/>
      <c r="F92" s="648"/>
      <c r="G92" s="655"/>
      <c r="H92" s="669"/>
      <c r="I92" s="330" t="s">
        <v>469</v>
      </c>
      <c r="J92" s="70">
        <v>6000000</v>
      </c>
      <c r="K92" s="71" t="s">
        <v>318</v>
      </c>
      <c r="L92" s="73" t="s">
        <v>334</v>
      </c>
      <c r="M92" s="73">
        <v>1</v>
      </c>
      <c r="N92" s="73" t="s">
        <v>361</v>
      </c>
      <c r="O92" s="74" t="s">
        <v>336</v>
      </c>
      <c r="P92" s="70">
        <f>SUM(J92*M92)</f>
        <v>6000000</v>
      </c>
      <c r="Q92" s="75" t="s">
        <v>318</v>
      </c>
      <c r="R92" s="277" t="s">
        <v>507</v>
      </c>
    </row>
    <row r="93" spans="1:34" ht="15.95" customHeight="1">
      <c r="A93" s="269"/>
      <c r="B93" s="466"/>
      <c r="C93" s="711" t="s">
        <v>437</v>
      </c>
      <c r="D93" s="657">
        <v>48470</v>
      </c>
      <c r="E93" s="644">
        <f>+P93/1000</f>
        <v>46176.079960000003</v>
      </c>
      <c r="F93" s="647">
        <v>50112</v>
      </c>
      <c r="G93" s="654">
        <f>+E93-D93</f>
        <v>-2293.9200399999972</v>
      </c>
      <c r="H93" s="650">
        <f>+G93/D93*100</f>
        <v>-4.7326594594594535</v>
      </c>
      <c r="I93" s="498"/>
      <c r="J93" s="57"/>
      <c r="K93" s="67"/>
      <c r="L93" s="68"/>
      <c r="M93" s="564" t="s">
        <v>355</v>
      </c>
      <c r="N93" s="564"/>
      <c r="O93" s="564"/>
      <c r="P93" s="57">
        <f>SUM(P94:P96)</f>
        <v>46176079.960000001</v>
      </c>
      <c r="Q93" s="53" t="s">
        <v>318</v>
      </c>
      <c r="R93" s="329"/>
    </row>
    <row r="94" spans="1:34" ht="15.95" customHeight="1">
      <c r="A94" s="331"/>
      <c r="B94" s="447"/>
      <c r="C94" s="712"/>
      <c r="D94" s="658"/>
      <c r="E94" s="645"/>
      <c r="F94" s="649"/>
      <c r="G94" s="656">
        <f>+E94-D94</f>
        <v>0</v>
      </c>
      <c r="H94" s="651" t="e">
        <f>+G94/D94*100</f>
        <v>#DIV/0!</v>
      </c>
      <c r="I94" s="37" t="s">
        <v>485</v>
      </c>
      <c r="J94" s="30">
        <v>3729073.33</v>
      </c>
      <c r="K94" s="41" t="s">
        <v>318</v>
      </c>
      <c r="L94" s="42" t="s">
        <v>334</v>
      </c>
      <c r="M94" s="43">
        <v>12</v>
      </c>
      <c r="N94" s="43" t="s">
        <v>530</v>
      </c>
      <c r="O94" s="43" t="s">
        <v>336</v>
      </c>
      <c r="P94" s="30">
        <f>J94*M94</f>
        <v>44748879.960000001</v>
      </c>
      <c r="Q94" s="45" t="s">
        <v>318</v>
      </c>
      <c r="R94" s="277" t="s">
        <v>36</v>
      </c>
    </row>
    <row r="95" spans="1:34" ht="15.95" customHeight="1">
      <c r="A95" s="269"/>
      <c r="B95" s="466"/>
      <c r="C95" s="712"/>
      <c r="D95" s="658"/>
      <c r="E95" s="645"/>
      <c r="F95" s="649"/>
      <c r="G95" s="656"/>
      <c r="H95" s="651"/>
      <c r="I95" s="281" t="s">
        <v>478</v>
      </c>
      <c r="J95" s="65">
        <v>600000</v>
      </c>
      <c r="K95" s="77" t="s">
        <v>318</v>
      </c>
      <c r="L95" s="78" t="s">
        <v>334</v>
      </c>
      <c r="M95" s="486">
        <v>1</v>
      </c>
      <c r="N95" s="486" t="s">
        <v>332</v>
      </c>
      <c r="O95" s="486" t="s">
        <v>336</v>
      </c>
      <c r="P95" s="65">
        <f>J95*M95</f>
        <v>600000</v>
      </c>
      <c r="Q95" s="66" t="s">
        <v>318</v>
      </c>
      <c r="R95" s="277" t="s">
        <v>249</v>
      </c>
    </row>
    <row r="96" spans="1:34" ht="15.95" customHeight="1">
      <c r="A96" s="269"/>
      <c r="B96" s="466"/>
      <c r="C96" s="712"/>
      <c r="D96" s="658"/>
      <c r="E96" s="645"/>
      <c r="F96" s="649"/>
      <c r="G96" s="656"/>
      <c r="H96" s="651"/>
      <c r="I96" s="37" t="s">
        <v>470</v>
      </c>
      <c r="J96" s="30">
        <v>827200</v>
      </c>
      <c r="K96" s="41" t="s">
        <v>318</v>
      </c>
      <c r="L96" s="42" t="s">
        <v>334</v>
      </c>
      <c r="M96" s="43">
        <v>1</v>
      </c>
      <c r="N96" s="43" t="s">
        <v>529</v>
      </c>
      <c r="O96" s="43" t="s">
        <v>336</v>
      </c>
      <c r="P96" s="30">
        <f>J96*M96</f>
        <v>827200</v>
      </c>
      <c r="Q96" s="45" t="s">
        <v>318</v>
      </c>
      <c r="R96" s="277"/>
    </row>
    <row r="97" spans="1:19" ht="15.95" customHeight="1">
      <c r="A97" s="331"/>
      <c r="B97" s="332"/>
      <c r="C97" s="711" t="s">
        <v>389</v>
      </c>
      <c r="D97" s="657">
        <v>500</v>
      </c>
      <c r="E97" s="644">
        <f>P97/1000</f>
        <v>22</v>
      </c>
      <c r="F97" s="474"/>
      <c r="G97" s="654">
        <f>E97-D97</f>
        <v>-478</v>
      </c>
      <c r="H97" s="650">
        <f>G97/D97*100</f>
        <v>-95.6</v>
      </c>
      <c r="I97" s="372"/>
      <c r="J97" s="54"/>
      <c r="K97" s="55"/>
      <c r="L97" s="56"/>
      <c r="M97" s="577" t="s">
        <v>355</v>
      </c>
      <c r="N97" s="577"/>
      <c r="O97" s="577"/>
      <c r="P97" s="54">
        <f>SUM(P98:P98)</f>
        <v>22000</v>
      </c>
      <c r="Q97" s="82" t="s">
        <v>318</v>
      </c>
      <c r="R97" s="333"/>
    </row>
    <row r="98" spans="1:19" ht="15.95" customHeight="1">
      <c r="A98" s="331"/>
      <c r="B98" s="511"/>
      <c r="C98" s="694"/>
      <c r="D98" s="659"/>
      <c r="E98" s="646"/>
      <c r="F98" s="474"/>
      <c r="G98" s="655"/>
      <c r="H98" s="669"/>
      <c r="I98" s="452" t="s">
        <v>435</v>
      </c>
      <c r="J98" s="23">
        <v>22000</v>
      </c>
      <c r="K98" s="24" t="s">
        <v>318</v>
      </c>
      <c r="L98" s="25" t="s">
        <v>334</v>
      </c>
      <c r="M98" s="26">
        <v>1</v>
      </c>
      <c r="N98" s="26" t="s">
        <v>332</v>
      </c>
      <c r="O98" s="26" t="s">
        <v>336</v>
      </c>
      <c r="P98" s="23">
        <f>J98*M98</f>
        <v>22000</v>
      </c>
      <c r="Q98" s="28" t="s">
        <v>318</v>
      </c>
      <c r="R98" s="333"/>
    </row>
    <row r="99" spans="1:19" ht="20.100000000000001" customHeight="1">
      <c r="A99" s="331" t="s">
        <v>545</v>
      </c>
      <c r="B99" s="113" t="s">
        <v>263</v>
      </c>
      <c r="C99" s="453" t="s">
        <v>106</v>
      </c>
      <c r="D99" s="454">
        <f>SUM(D100:D109)</f>
        <v>108000</v>
      </c>
      <c r="E99" s="455">
        <f>P99/1000</f>
        <v>106699.99992</v>
      </c>
      <c r="F99" s="456">
        <f>SUM(F100:F111)</f>
        <v>145152</v>
      </c>
      <c r="G99" s="491">
        <f>+E99-D99</f>
        <v>-1300.000079999998</v>
      </c>
      <c r="H99" s="490">
        <f>+G99/D99*100</f>
        <v>-1.2037037777777759</v>
      </c>
      <c r="I99" s="336"/>
      <c r="J99" s="209"/>
      <c r="K99" s="137"/>
      <c r="L99" s="137"/>
      <c r="M99" s="601"/>
      <c r="N99" s="601"/>
      <c r="O99" s="601"/>
      <c r="P99" s="159">
        <f>SUM(P100,P102,P104,P107,P109)</f>
        <v>106699999.92</v>
      </c>
      <c r="Q99" s="160" t="s">
        <v>318</v>
      </c>
      <c r="R99" s="257"/>
    </row>
    <row r="100" spans="1:19" ht="15.75" customHeight="1">
      <c r="A100" s="269"/>
      <c r="B100" s="469"/>
      <c r="C100" s="692" t="s">
        <v>227</v>
      </c>
      <c r="D100" s="657">
        <v>31200</v>
      </c>
      <c r="E100" s="644">
        <f>+P100/1000</f>
        <v>31200</v>
      </c>
      <c r="F100" s="647">
        <v>96000</v>
      </c>
      <c r="G100" s="654">
        <f>+E100-D100</f>
        <v>0</v>
      </c>
      <c r="H100" s="650">
        <f>+G100/D100*100</f>
        <v>0</v>
      </c>
      <c r="I100" s="499"/>
      <c r="J100" s="57"/>
      <c r="K100" s="67"/>
      <c r="L100" s="68"/>
      <c r="M100" s="564" t="s">
        <v>355</v>
      </c>
      <c r="N100" s="564"/>
      <c r="O100" s="564"/>
      <c r="P100" s="118">
        <f>SUM(P101:P101)</f>
        <v>31200000</v>
      </c>
      <c r="Q100" s="53" t="s">
        <v>318</v>
      </c>
      <c r="R100" s="257"/>
    </row>
    <row r="101" spans="1:19" ht="15.75" customHeight="1">
      <c r="A101" s="269"/>
      <c r="B101" s="466"/>
      <c r="C101" s="694"/>
      <c r="D101" s="659"/>
      <c r="E101" s="646"/>
      <c r="F101" s="648"/>
      <c r="G101" s="655"/>
      <c r="H101" s="669"/>
      <c r="I101" s="337" t="s">
        <v>143</v>
      </c>
      <c r="J101" s="147">
        <v>7800000</v>
      </c>
      <c r="K101" s="338" t="s">
        <v>318</v>
      </c>
      <c r="L101" s="149" t="s">
        <v>334</v>
      </c>
      <c r="M101" s="148">
        <v>4</v>
      </c>
      <c r="N101" s="148" t="s">
        <v>332</v>
      </c>
      <c r="O101" s="150" t="s">
        <v>336</v>
      </c>
      <c r="P101" s="147">
        <f>SUM(J101*M101)</f>
        <v>31200000</v>
      </c>
      <c r="Q101" s="151" t="s">
        <v>318</v>
      </c>
      <c r="R101" s="257"/>
      <c r="S101" s="86" t="s">
        <v>457</v>
      </c>
    </row>
    <row r="102" spans="1:19" ht="15.75" customHeight="1">
      <c r="A102" s="269"/>
      <c r="B102" s="466"/>
      <c r="C102" s="729" t="s">
        <v>86</v>
      </c>
      <c r="D102" s="705">
        <v>16800</v>
      </c>
      <c r="E102" s="726">
        <f>+P102/1000</f>
        <v>16099.999919999998</v>
      </c>
      <c r="F102" s="684">
        <v>11052</v>
      </c>
      <c r="G102" s="731">
        <f>+E102-D102</f>
        <v>-700.00008000000162</v>
      </c>
      <c r="H102" s="734">
        <f>+G102/D102*100</f>
        <v>-4.1666671428571531</v>
      </c>
      <c r="I102" s="498"/>
      <c r="J102" s="57"/>
      <c r="K102" s="67"/>
      <c r="L102" s="68"/>
      <c r="M102" s="564" t="s">
        <v>355</v>
      </c>
      <c r="N102" s="564"/>
      <c r="O102" s="564"/>
      <c r="P102" s="57">
        <f>SUM(P103:P103)</f>
        <v>16099999.919999998</v>
      </c>
      <c r="Q102" s="53" t="s">
        <v>318</v>
      </c>
      <c r="R102" s="257"/>
    </row>
    <row r="103" spans="1:19" ht="15.75" customHeight="1">
      <c r="A103" s="269"/>
      <c r="B103" s="466"/>
      <c r="C103" s="729"/>
      <c r="D103" s="705"/>
      <c r="E103" s="726"/>
      <c r="F103" s="684"/>
      <c r="G103" s="731"/>
      <c r="H103" s="734"/>
      <c r="I103" s="37" t="s">
        <v>434</v>
      </c>
      <c r="J103" s="30">
        <v>1341666.6599999999</v>
      </c>
      <c r="K103" s="41" t="s">
        <v>318</v>
      </c>
      <c r="L103" s="42" t="s">
        <v>334</v>
      </c>
      <c r="M103" s="43">
        <v>12</v>
      </c>
      <c r="N103" s="43" t="s">
        <v>332</v>
      </c>
      <c r="O103" s="43" t="s">
        <v>336</v>
      </c>
      <c r="P103" s="30">
        <f>SUM(J103*M103)</f>
        <v>16099999.919999998</v>
      </c>
      <c r="Q103" s="45" t="s">
        <v>318</v>
      </c>
      <c r="R103" s="257"/>
      <c r="S103" s="257" t="s">
        <v>2</v>
      </c>
    </row>
    <row r="104" spans="1:19" ht="15.95" customHeight="1">
      <c r="A104" s="331"/>
      <c r="B104" s="469"/>
      <c r="C104" s="692" t="s">
        <v>124</v>
      </c>
      <c r="D104" s="657">
        <v>24000</v>
      </c>
      <c r="E104" s="644">
        <f>+P104/1000</f>
        <v>24000</v>
      </c>
      <c r="F104" s="684">
        <v>20000</v>
      </c>
      <c r="G104" s="654">
        <f>+E104-D104</f>
        <v>0</v>
      </c>
      <c r="H104" s="652">
        <f>+G104/D104*100</f>
        <v>0</v>
      </c>
      <c r="I104" s="498"/>
      <c r="J104" s="57"/>
      <c r="K104" s="67"/>
      <c r="L104" s="68"/>
      <c r="M104" s="564" t="s">
        <v>355</v>
      </c>
      <c r="N104" s="564"/>
      <c r="O104" s="564"/>
      <c r="P104" s="57">
        <f>SUM(P105:P106)</f>
        <v>24000000</v>
      </c>
      <c r="Q104" s="53" t="s">
        <v>318</v>
      </c>
      <c r="R104" s="257"/>
    </row>
    <row r="105" spans="1:19" ht="15.95" customHeight="1">
      <c r="A105" s="269"/>
      <c r="B105" s="339"/>
      <c r="C105" s="693"/>
      <c r="D105" s="658"/>
      <c r="E105" s="645"/>
      <c r="F105" s="684"/>
      <c r="G105" s="656"/>
      <c r="H105" s="732"/>
      <c r="I105" s="281" t="s">
        <v>118</v>
      </c>
      <c r="J105" s="65">
        <v>4500000</v>
      </c>
      <c r="K105" s="77" t="s">
        <v>318</v>
      </c>
      <c r="L105" s="78" t="s">
        <v>334</v>
      </c>
      <c r="M105" s="486">
        <v>2</v>
      </c>
      <c r="N105" s="486" t="s">
        <v>332</v>
      </c>
      <c r="O105" s="64" t="s">
        <v>336</v>
      </c>
      <c r="P105" s="65">
        <f>SUM(J105*M105)</f>
        <v>9000000</v>
      </c>
      <c r="Q105" s="66" t="s">
        <v>318</v>
      </c>
      <c r="R105" s="257"/>
    </row>
    <row r="106" spans="1:19" ht="15.95" customHeight="1">
      <c r="A106" s="269"/>
      <c r="B106" s="339"/>
      <c r="C106" s="694"/>
      <c r="D106" s="659"/>
      <c r="E106" s="646"/>
      <c r="F106" s="473"/>
      <c r="G106" s="655"/>
      <c r="H106" s="653"/>
      <c r="I106" s="281" t="s">
        <v>100</v>
      </c>
      <c r="J106" s="65">
        <v>7500000</v>
      </c>
      <c r="K106" s="77" t="s">
        <v>318</v>
      </c>
      <c r="L106" s="78" t="s">
        <v>334</v>
      </c>
      <c r="M106" s="486">
        <v>2</v>
      </c>
      <c r="N106" s="486" t="s">
        <v>332</v>
      </c>
      <c r="O106" s="64" t="s">
        <v>336</v>
      </c>
      <c r="P106" s="65">
        <f>SUM(J106*M106)</f>
        <v>15000000</v>
      </c>
      <c r="Q106" s="66" t="s">
        <v>318</v>
      </c>
      <c r="R106" s="340"/>
    </row>
    <row r="107" spans="1:19" ht="15.95" customHeight="1">
      <c r="A107" s="269"/>
      <c r="B107" s="339"/>
      <c r="C107" s="692" t="s">
        <v>116</v>
      </c>
      <c r="D107" s="657">
        <v>24000</v>
      </c>
      <c r="E107" s="644">
        <f>+P107/1000</f>
        <v>23400</v>
      </c>
      <c r="F107" s="473"/>
      <c r="G107" s="654">
        <f>+E107-D107</f>
        <v>-600</v>
      </c>
      <c r="H107" s="745">
        <f>+G107/D107*100</f>
        <v>-2.5</v>
      </c>
      <c r="I107" s="498"/>
      <c r="J107" s="57"/>
      <c r="K107" s="67"/>
      <c r="L107" s="68"/>
      <c r="M107" s="564" t="s">
        <v>355</v>
      </c>
      <c r="N107" s="564"/>
      <c r="O107" s="564"/>
      <c r="P107" s="57">
        <f>SUM(P108:P108)</f>
        <v>23400000</v>
      </c>
      <c r="Q107" s="53" t="s">
        <v>318</v>
      </c>
      <c r="R107" s="340"/>
    </row>
    <row r="108" spans="1:19" ht="15.95" customHeight="1">
      <c r="A108" s="269"/>
      <c r="B108" s="466"/>
      <c r="C108" s="694"/>
      <c r="D108" s="659"/>
      <c r="E108" s="646"/>
      <c r="F108" s="335"/>
      <c r="G108" s="655"/>
      <c r="H108" s="746"/>
      <c r="I108" s="38" t="s">
        <v>118</v>
      </c>
      <c r="J108" s="236">
        <v>5850000</v>
      </c>
      <c r="K108" s="24" t="s">
        <v>318</v>
      </c>
      <c r="L108" s="25" t="s">
        <v>334</v>
      </c>
      <c r="M108" s="26">
        <v>4</v>
      </c>
      <c r="N108" s="26" t="s">
        <v>332</v>
      </c>
      <c r="O108" s="27" t="s">
        <v>336</v>
      </c>
      <c r="P108" s="236">
        <f>SUM(J108*M108)</f>
        <v>23400000</v>
      </c>
      <c r="Q108" s="28" t="s">
        <v>318</v>
      </c>
      <c r="R108" s="340"/>
      <c r="S108" s="340" t="s">
        <v>466</v>
      </c>
    </row>
    <row r="109" spans="1:19" ht="15.95" customHeight="1">
      <c r="A109" s="269"/>
      <c r="B109" s="466"/>
      <c r="C109" s="695" t="s">
        <v>135</v>
      </c>
      <c r="D109" s="657">
        <v>12000</v>
      </c>
      <c r="E109" s="644">
        <f>+P109/1000</f>
        <v>12000</v>
      </c>
      <c r="F109" s="647">
        <v>18100</v>
      </c>
      <c r="G109" s="654">
        <f>+E109-D109</f>
        <v>0</v>
      </c>
      <c r="H109" s="650">
        <f>+G109/D109*100</f>
        <v>0</v>
      </c>
      <c r="I109" s="499"/>
      <c r="J109" s="57"/>
      <c r="K109" s="67"/>
      <c r="L109" s="68"/>
      <c r="M109" s="564" t="s">
        <v>355</v>
      </c>
      <c r="N109" s="564"/>
      <c r="O109" s="564"/>
      <c r="P109" s="57">
        <f>SUM(P110:P110)</f>
        <v>12000000</v>
      </c>
      <c r="Q109" s="53" t="s">
        <v>318</v>
      </c>
      <c r="R109" s="257"/>
    </row>
    <row r="110" spans="1:19" ht="15.95" customHeight="1">
      <c r="A110" s="269"/>
      <c r="B110" s="467"/>
      <c r="C110" s="696"/>
      <c r="D110" s="659"/>
      <c r="E110" s="646"/>
      <c r="F110" s="648"/>
      <c r="G110" s="655">
        <f>+E110-D110</f>
        <v>0</v>
      </c>
      <c r="H110" s="669" t="e">
        <f>+G110/D110*100</f>
        <v>#DIV/0!</v>
      </c>
      <c r="I110" s="69" t="s">
        <v>143</v>
      </c>
      <c r="J110" s="70">
        <v>3000000</v>
      </c>
      <c r="K110" s="71" t="s">
        <v>318</v>
      </c>
      <c r="L110" s="72" t="s">
        <v>334</v>
      </c>
      <c r="M110" s="73">
        <v>4</v>
      </c>
      <c r="N110" s="73" t="s">
        <v>332</v>
      </c>
      <c r="O110" s="74" t="s">
        <v>336</v>
      </c>
      <c r="P110" s="70">
        <f>SUM(J110*M110)</f>
        <v>12000000</v>
      </c>
      <c r="Q110" s="75" t="s">
        <v>318</v>
      </c>
      <c r="R110" s="257"/>
      <c r="S110" s="257" t="s">
        <v>457</v>
      </c>
    </row>
    <row r="111" spans="1:19" ht="20.100000000000001" customHeight="1">
      <c r="A111" s="331"/>
      <c r="B111" s="341" t="s">
        <v>84</v>
      </c>
      <c r="C111" s="492" t="s">
        <v>341</v>
      </c>
      <c r="D111" s="480">
        <f>SUM(D112:D130)</f>
        <v>219431</v>
      </c>
      <c r="E111" s="480">
        <f>P111/1000</f>
        <v>199581.35394</v>
      </c>
      <c r="F111" s="475"/>
      <c r="G111" s="478">
        <f>E111-D111</f>
        <v>-19849.646059999999</v>
      </c>
      <c r="H111" s="342">
        <f>G111/D111*100</f>
        <v>-9.0459625394771024</v>
      </c>
      <c r="I111" s="76"/>
      <c r="J111" s="65"/>
      <c r="K111" s="77"/>
      <c r="L111" s="78"/>
      <c r="M111" s="601"/>
      <c r="N111" s="601"/>
      <c r="O111" s="601"/>
      <c r="P111" s="65">
        <f>SUM(P112,P114,P116,P121,P123,P127)</f>
        <v>199581353.94</v>
      </c>
      <c r="Q111" s="75" t="s">
        <v>318</v>
      </c>
      <c r="R111" s="257"/>
    </row>
    <row r="112" spans="1:19" ht="15.95" customHeight="1">
      <c r="A112" s="269"/>
      <c r="B112" s="358" t="s">
        <v>544</v>
      </c>
      <c r="C112" s="692" t="s">
        <v>236</v>
      </c>
      <c r="D112" s="657">
        <v>12800</v>
      </c>
      <c r="E112" s="644">
        <f>P112/1000</f>
        <v>9700</v>
      </c>
      <c r="F112" s="473"/>
      <c r="G112" s="654">
        <f>E112-D112</f>
        <v>-3100</v>
      </c>
      <c r="H112" s="650">
        <f>G112/D112*100</f>
        <v>-24.21875</v>
      </c>
      <c r="I112" s="499"/>
      <c r="J112" s="57"/>
      <c r="K112" s="67"/>
      <c r="L112" s="68"/>
      <c r="M112" s="564" t="s">
        <v>355</v>
      </c>
      <c r="N112" s="564"/>
      <c r="O112" s="564"/>
      <c r="P112" s="57">
        <f>SUM(P113:P113)</f>
        <v>9700000</v>
      </c>
      <c r="Q112" s="53" t="s">
        <v>318</v>
      </c>
      <c r="R112" s="345" t="s">
        <v>505</v>
      </c>
    </row>
    <row r="113" spans="1:18" ht="15.95" customHeight="1">
      <c r="A113" s="269"/>
      <c r="B113" s="344"/>
      <c r="C113" s="693"/>
      <c r="D113" s="658"/>
      <c r="E113" s="645"/>
      <c r="F113" s="475"/>
      <c r="G113" s="656"/>
      <c r="H113" s="651"/>
      <c r="I113" s="39" t="s">
        <v>426</v>
      </c>
      <c r="J113" s="30">
        <v>9700000</v>
      </c>
      <c r="K113" s="41" t="s">
        <v>318</v>
      </c>
      <c r="L113" s="42" t="s">
        <v>334</v>
      </c>
      <c r="M113" s="43">
        <v>1</v>
      </c>
      <c r="N113" s="43" t="s">
        <v>332</v>
      </c>
      <c r="O113" s="44" t="s">
        <v>336</v>
      </c>
      <c r="P113" s="30">
        <f t="shared" ref="P113" si="6">SUM(J113*M113)</f>
        <v>9700000</v>
      </c>
      <c r="Q113" s="45" t="s">
        <v>318</v>
      </c>
      <c r="R113" s="346" t="s">
        <v>536</v>
      </c>
    </row>
    <row r="114" spans="1:18" ht="15.95" customHeight="1">
      <c r="A114" s="269"/>
      <c r="B114" s="466"/>
      <c r="C114" s="692" t="s">
        <v>172</v>
      </c>
      <c r="D114" s="657">
        <v>100</v>
      </c>
      <c r="E114" s="644">
        <f>+P114/1000</f>
        <v>100</v>
      </c>
      <c r="F114" s="647">
        <v>0</v>
      </c>
      <c r="G114" s="654">
        <f>+E114-D114</f>
        <v>0</v>
      </c>
      <c r="H114" s="652">
        <f>+G114/D114*100</f>
        <v>0</v>
      </c>
      <c r="I114" s="499"/>
      <c r="J114" s="57"/>
      <c r="K114" s="67"/>
      <c r="L114" s="68"/>
      <c r="M114" s="564" t="s">
        <v>355</v>
      </c>
      <c r="N114" s="564"/>
      <c r="O114" s="564"/>
      <c r="P114" s="57">
        <f>SUM(P115)</f>
        <v>100000</v>
      </c>
      <c r="Q114" s="53" t="s">
        <v>318</v>
      </c>
      <c r="R114" s="257"/>
    </row>
    <row r="115" spans="1:18" ht="15.95" customHeight="1">
      <c r="A115" s="269"/>
      <c r="B115" s="466"/>
      <c r="C115" s="694"/>
      <c r="D115" s="659"/>
      <c r="E115" s="646"/>
      <c r="F115" s="648"/>
      <c r="G115" s="655"/>
      <c r="H115" s="653"/>
      <c r="I115" s="69" t="s">
        <v>276</v>
      </c>
      <c r="J115" s="70">
        <v>10000</v>
      </c>
      <c r="K115" s="71" t="s">
        <v>318</v>
      </c>
      <c r="L115" s="72" t="s">
        <v>334</v>
      </c>
      <c r="M115" s="73">
        <v>10</v>
      </c>
      <c r="N115" s="73" t="s">
        <v>332</v>
      </c>
      <c r="O115" s="74" t="s">
        <v>336</v>
      </c>
      <c r="P115" s="70">
        <f>SUM(J115*M115)</f>
        <v>100000</v>
      </c>
      <c r="Q115" s="75" t="s">
        <v>318</v>
      </c>
      <c r="R115" s="257"/>
    </row>
    <row r="116" spans="1:18" ht="15.95" customHeight="1">
      <c r="A116" s="269"/>
      <c r="B116" s="344"/>
      <c r="C116" s="711" t="s">
        <v>439</v>
      </c>
      <c r="D116" s="657">
        <v>22562</v>
      </c>
      <c r="E116" s="644">
        <f>P116/1000</f>
        <v>22561.999940000002</v>
      </c>
      <c r="F116" s="475"/>
      <c r="G116" s="654">
        <f>E116-D116</f>
        <v>-5.999999848427251E-5</v>
      </c>
      <c r="H116" s="652">
        <f>G116/D116*100</f>
        <v>-2.6593386439266249E-7</v>
      </c>
      <c r="I116" s="76"/>
      <c r="J116" s="65"/>
      <c r="K116" s="77"/>
      <c r="L116" s="78"/>
      <c r="M116" s="681" t="s">
        <v>355</v>
      </c>
      <c r="N116" s="681"/>
      <c r="O116" s="681"/>
      <c r="P116" s="65">
        <f>SUM(P117:P120)</f>
        <v>22561999.940000001</v>
      </c>
      <c r="Q116" s="66" t="s">
        <v>318</v>
      </c>
      <c r="R116" s="343" t="s">
        <v>378</v>
      </c>
    </row>
    <row r="117" spans="1:18" ht="15.95" customHeight="1">
      <c r="A117" s="269"/>
      <c r="B117" s="344"/>
      <c r="C117" s="712"/>
      <c r="D117" s="658"/>
      <c r="E117" s="645"/>
      <c r="F117" s="475"/>
      <c r="G117" s="656"/>
      <c r="H117" s="732"/>
      <c r="I117" s="76" t="s">
        <v>245</v>
      </c>
      <c r="J117" s="65">
        <v>1129429</v>
      </c>
      <c r="K117" s="77" t="s">
        <v>318</v>
      </c>
      <c r="L117" s="78" t="s">
        <v>334</v>
      </c>
      <c r="M117" s="486">
        <v>7</v>
      </c>
      <c r="N117" s="486" t="s">
        <v>361</v>
      </c>
      <c r="O117" s="64" t="s">
        <v>336</v>
      </c>
      <c r="P117" s="65">
        <f>SUM(J117*M117)-3</f>
        <v>7906000</v>
      </c>
      <c r="Q117" s="66" t="s">
        <v>318</v>
      </c>
      <c r="R117" s="343"/>
    </row>
    <row r="118" spans="1:18" ht="15.95" customHeight="1">
      <c r="A118" s="269"/>
      <c r="B118" s="344"/>
      <c r="C118" s="712"/>
      <c r="D118" s="658"/>
      <c r="E118" s="645"/>
      <c r="F118" s="475"/>
      <c r="G118" s="656"/>
      <c r="H118" s="732"/>
      <c r="I118" s="76" t="s">
        <v>215</v>
      </c>
      <c r="J118" s="65">
        <v>1330000</v>
      </c>
      <c r="K118" s="77" t="s">
        <v>318</v>
      </c>
      <c r="L118" s="78" t="s">
        <v>334</v>
      </c>
      <c r="M118" s="486">
        <v>7</v>
      </c>
      <c r="N118" s="486" t="s">
        <v>361</v>
      </c>
      <c r="O118" s="64" t="s">
        <v>336</v>
      </c>
      <c r="P118" s="65">
        <f>SUM(J118*M118)</f>
        <v>9310000</v>
      </c>
      <c r="Q118" s="66" t="s">
        <v>318</v>
      </c>
      <c r="R118" s="343"/>
    </row>
    <row r="119" spans="1:18" ht="15.95" customHeight="1">
      <c r="A119" s="269"/>
      <c r="B119" s="344"/>
      <c r="C119" s="712"/>
      <c r="D119" s="658"/>
      <c r="E119" s="645"/>
      <c r="F119" s="475"/>
      <c r="G119" s="656"/>
      <c r="H119" s="732"/>
      <c r="I119" s="76" t="s">
        <v>71</v>
      </c>
      <c r="J119" s="65">
        <v>628571.42000000004</v>
      </c>
      <c r="K119" s="77" t="s">
        <v>318</v>
      </c>
      <c r="L119" s="78" t="s">
        <v>334</v>
      </c>
      <c r="M119" s="486">
        <v>7</v>
      </c>
      <c r="N119" s="486" t="s">
        <v>361</v>
      </c>
      <c r="O119" s="64" t="s">
        <v>336</v>
      </c>
      <c r="P119" s="65">
        <f>SUM(J119*M119)</f>
        <v>4399999.9400000004</v>
      </c>
      <c r="Q119" s="66" t="s">
        <v>318</v>
      </c>
      <c r="R119" s="343"/>
    </row>
    <row r="120" spans="1:18" ht="15.95" customHeight="1">
      <c r="A120" s="269"/>
      <c r="B120" s="344"/>
      <c r="C120" s="714"/>
      <c r="D120" s="659"/>
      <c r="E120" s="646"/>
      <c r="F120" s="475"/>
      <c r="G120" s="655"/>
      <c r="H120" s="653"/>
      <c r="I120" s="76" t="s">
        <v>258</v>
      </c>
      <c r="J120" s="65">
        <v>946000</v>
      </c>
      <c r="K120" s="77" t="s">
        <v>318</v>
      </c>
      <c r="L120" s="78" t="s">
        <v>334</v>
      </c>
      <c r="M120" s="486">
        <v>1</v>
      </c>
      <c r="N120" s="486" t="s">
        <v>332</v>
      </c>
      <c r="O120" s="64" t="s">
        <v>336</v>
      </c>
      <c r="P120" s="65">
        <f>SUM(J120*M120)</f>
        <v>946000</v>
      </c>
      <c r="Q120" s="66" t="s">
        <v>318</v>
      </c>
      <c r="R120" s="343"/>
    </row>
    <row r="121" spans="1:18" ht="15.95" customHeight="1">
      <c r="A121" s="269"/>
      <c r="B121" s="344"/>
      <c r="C121" s="721" t="s">
        <v>452</v>
      </c>
      <c r="D121" s="705">
        <v>26450</v>
      </c>
      <c r="E121" s="726">
        <f>+P121/1000</f>
        <v>26450</v>
      </c>
      <c r="F121" s="684">
        <v>0</v>
      </c>
      <c r="G121" s="731">
        <f>+E121-D121</f>
        <v>0</v>
      </c>
      <c r="H121" s="650">
        <f>+G121/D121*100</f>
        <v>0</v>
      </c>
      <c r="I121" s="498"/>
      <c r="J121" s="57"/>
      <c r="K121" s="67"/>
      <c r="L121" s="68"/>
      <c r="M121" s="564" t="s">
        <v>355</v>
      </c>
      <c r="N121" s="564"/>
      <c r="O121" s="564"/>
      <c r="P121" s="57">
        <f>SUM(P122:P122)</f>
        <v>26450000</v>
      </c>
      <c r="Q121" s="53" t="s">
        <v>318</v>
      </c>
      <c r="R121" s="343"/>
    </row>
    <row r="122" spans="1:18" ht="15.95" customHeight="1">
      <c r="A122" s="269"/>
      <c r="B122" s="344"/>
      <c r="C122" s="728"/>
      <c r="D122" s="705"/>
      <c r="E122" s="726"/>
      <c r="F122" s="684"/>
      <c r="G122" s="731"/>
      <c r="H122" s="651"/>
      <c r="I122" s="283" t="s">
        <v>443</v>
      </c>
      <c r="J122" s="70">
        <v>1150000</v>
      </c>
      <c r="K122" s="71" t="s">
        <v>318</v>
      </c>
      <c r="L122" s="72" t="s">
        <v>334</v>
      </c>
      <c r="M122" s="73">
        <v>23</v>
      </c>
      <c r="N122" s="73" t="s">
        <v>332</v>
      </c>
      <c r="O122" s="74" t="s">
        <v>336</v>
      </c>
      <c r="P122" s="70">
        <f>SUM(J122*M122)</f>
        <v>26450000</v>
      </c>
      <c r="Q122" s="75" t="s">
        <v>318</v>
      </c>
      <c r="R122" s="343" t="s">
        <v>512</v>
      </c>
    </row>
    <row r="123" spans="1:18" ht="15.95" customHeight="1">
      <c r="A123" s="269"/>
      <c r="B123" s="466"/>
      <c r="C123" s="737" t="s">
        <v>438</v>
      </c>
      <c r="D123" s="644">
        <v>39000</v>
      </c>
      <c r="E123" s="644">
        <f>P123/1000</f>
        <v>22250</v>
      </c>
      <c r="F123" s="347"/>
      <c r="G123" s="757">
        <f>E123-D123</f>
        <v>-16750</v>
      </c>
      <c r="H123" s="652">
        <f>+G123/D123*100</f>
        <v>-42.948717948717949</v>
      </c>
      <c r="I123" s="348"/>
      <c r="J123" s="67"/>
      <c r="K123" s="67"/>
      <c r="L123" s="67"/>
      <c r="M123" s="564" t="s">
        <v>355</v>
      </c>
      <c r="N123" s="564"/>
      <c r="O123" s="564"/>
      <c r="P123" s="118">
        <f>SUM(P124:P126)</f>
        <v>22250000</v>
      </c>
      <c r="Q123" s="53" t="s">
        <v>318</v>
      </c>
      <c r="R123" s="257"/>
    </row>
    <row r="124" spans="1:18" ht="15.95" customHeight="1">
      <c r="A124" s="269"/>
      <c r="B124" s="466"/>
      <c r="C124" s="739"/>
      <c r="D124" s="645"/>
      <c r="E124" s="645"/>
      <c r="F124" s="349"/>
      <c r="G124" s="756"/>
      <c r="H124" s="732"/>
      <c r="I124" s="84" t="s">
        <v>446</v>
      </c>
      <c r="J124" s="30">
        <v>3000000</v>
      </c>
      <c r="K124" s="41" t="s">
        <v>318</v>
      </c>
      <c r="L124" s="42" t="s">
        <v>334</v>
      </c>
      <c r="M124" s="43">
        <v>5</v>
      </c>
      <c r="N124" s="43" t="s">
        <v>332</v>
      </c>
      <c r="O124" s="44" t="s">
        <v>336</v>
      </c>
      <c r="P124" s="30">
        <f>SUM(J124*M124)</f>
        <v>15000000</v>
      </c>
      <c r="Q124" s="45" t="s">
        <v>318</v>
      </c>
      <c r="R124" s="277" t="s">
        <v>518</v>
      </c>
    </row>
    <row r="125" spans="1:18" ht="15.95" customHeight="1">
      <c r="A125" s="269"/>
      <c r="B125" s="466"/>
      <c r="C125" s="739"/>
      <c r="D125" s="645"/>
      <c r="E125" s="645"/>
      <c r="F125" s="349"/>
      <c r="G125" s="756"/>
      <c r="H125" s="732"/>
      <c r="I125" s="84" t="s">
        <v>441</v>
      </c>
      <c r="J125" s="30">
        <v>0</v>
      </c>
      <c r="K125" s="41" t="s">
        <v>318</v>
      </c>
      <c r="L125" s="42" t="s">
        <v>334</v>
      </c>
      <c r="M125" s="43">
        <v>1</v>
      </c>
      <c r="N125" s="43" t="s">
        <v>332</v>
      </c>
      <c r="O125" s="44" t="s">
        <v>336</v>
      </c>
      <c r="P125" s="30">
        <f>SUM(J125*M125)</f>
        <v>0</v>
      </c>
      <c r="Q125" s="45" t="s">
        <v>318</v>
      </c>
      <c r="R125" s="257"/>
    </row>
    <row r="126" spans="1:18" ht="15.95" customHeight="1">
      <c r="A126" s="269"/>
      <c r="B126" s="466"/>
      <c r="C126" s="738"/>
      <c r="D126" s="646"/>
      <c r="E126" s="646"/>
      <c r="F126" s="349"/>
      <c r="G126" s="758"/>
      <c r="H126" s="653"/>
      <c r="I126" s="41" t="s">
        <v>498</v>
      </c>
      <c r="J126" s="30">
        <v>3625000</v>
      </c>
      <c r="K126" s="41" t="s">
        <v>318</v>
      </c>
      <c r="L126" s="42" t="s">
        <v>334</v>
      </c>
      <c r="M126" s="43">
        <v>2</v>
      </c>
      <c r="N126" s="43" t="s">
        <v>332</v>
      </c>
      <c r="O126" s="44" t="s">
        <v>336</v>
      </c>
      <c r="P126" s="30">
        <f>SUM(J126*M126)</f>
        <v>7250000</v>
      </c>
      <c r="Q126" s="45" t="s">
        <v>318</v>
      </c>
      <c r="R126" s="350" t="s">
        <v>427</v>
      </c>
    </row>
    <row r="127" spans="1:18" ht="15.95" customHeight="1">
      <c r="A127" s="331"/>
      <c r="B127" s="358"/>
      <c r="C127" s="692" t="s">
        <v>115</v>
      </c>
      <c r="D127" s="657">
        <v>118519</v>
      </c>
      <c r="E127" s="644">
        <f>(P127/1000)</f>
        <v>118519.35400000001</v>
      </c>
      <c r="F127" s="647">
        <v>83961</v>
      </c>
      <c r="G127" s="654">
        <f>E127-D127</f>
        <v>0.35400000000663567</v>
      </c>
      <c r="H127" s="734">
        <f>G127/D127*100</f>
        <v>2.9868628659255957E-4</v>
      </c>
      <c r="I127" s="311"/>
      <c r="J127" s="57"/>
      <c r="K127" s="67"/>
      <c r="L127" s="68"/>
      <c r="M127" s="564" t="s">
        <v>355</v>
      </c>
      <c r="N127" s="564"/>
      <c r="O127" s="564"/>
      <c r="P127" s="57">
        <f>SUM(P128:P130)</f>
        <v>118519354</v>
      </c>
      <c r="Q127" s="53" t="s">
        <v>318</v>
      </c>
      <c r="R127" s="257"/>
    </row>
    <row r="128" spans="1:18" ht="15.95" customHeight="1">
      <c r="A128" s="510"/>
      <c r="B128" s="358"/>
      <c r="C128" s="693"/>
      <c r="D128" s="658"/>
      <c r="E128" s="645"/>
      <c r="F128" s="649"/>
      <c r="G128" s="656"/>
      <c r="H128" s="734"/>
      <c r="I128" s="297" t="s">
        <v>497</v>
      </c>
      <c r="J128" s="65">
        <v>88520000</v>
      </c>
      <c r="K128" s="77" t="s">
        <v>318</v>
      </c>
      <c r="L128" s="78" t="s">
        <v>334</v>
      </c>
      <c r="M128" s="486">
        <v>1</v>
      </c>
      <c r="N128" s="486" t="s">
        <v>332</v>
      </c>
      <c r="O128" s="64" t="s">
        <v>336</v>
      </c>
      <c r="P128" s="65">
        <f>SUM(J128*M128)</f>
        <v>88520000</v>
      </c>
      <c r="Q128" s="66" t="s">
        <v>318</v>
      </c>
      <c r="R128" s="257"/>
    </row>
    <row r="129" spans="1:18" ht="15.95" customHeight="1">
      <c r="A129" s="269"/>
      <c r="B129" s="466"/>
      <c r="C129" s="693"/>
      <c r="D129" s="658"/>
      <c r="E129" s="645"/>
      <c r="F129" s="474"/>
      <c r="G129" s="656"/>
      <c r="H129" s="734"/>
      <c r="I129" s="286" t="s">
        <v>37</v>
      </c>
      <c r="J129" s="65">
        <v>16480000</v>
      </c>
      <c r="K129" s="77" t="s">
        <v>318</v>
      </c>
      <c r="L129" s="78" t="s">
        <v>334</v>
      </c>
      <c r="M129" s="486">
        <v>1</v>
      </c>
      <c r="N129" s="486" t="s">
        <v>332</v>
      </c>
      <c r="O129" s="64" t="s">
        <v>342</v>
      </c>
      <c r="P129" s="65">
        <f>J129*M129</f>
        <v>16480000</v>
      </c>
      <c r="Q129" s="66" t="s">
        <v>318</v>
      </c>
      <c r="R129" s="257"/>
    </row>
    <row r="130" spans="1:18" ht="15.95" customHeight="1">
      <c r="A130" s="269"/>
      <c r="B130" s="467"/>
      <c r="C130" s="694"/>
      <c r="D130" s="659"/>
      <c r="E130" s="646"/>
      <c r="F130" s="474"/>
      <c r="G130" s="655"/>
      <c r="H130" s="734"/>
      <c r="I130" s="351" t="s">
        <v>160</v>
      </c>
      <c r="J130" s="70">
        <v>13519354</v>
      </c>
      <c r="K130" s="71" t="s">
        <v>318</v>
      </c>
      <c r="L130" s="72" t="s">
        <v>334</v>
      </c>
      <c r="M130" s="73">
        <v>1</v>
      </c>
      <c r="N130" s="73" t="s">
        <v>332</v>
      </c>
      <c r="O130" s="74" t="s">
        <v>342</v>
      </c>
      <c r="P130" s="70">
        <f>J130*M130</f>
        <v>13519354</v>
      </c>
      <c r="Q130" s="75" t="s">
        <v>318</v>
      </c>
      <c r="R130" s="277" t="s">
        <v>11</v>
      </c>
    </row>
    <row r="131" spans="1:18" ht="20.100000000000001" customHeight="1">
      <c r="A131" s="352" t="s">
        <v>363</v>
      </c>
      <c r="B131" s="341" t="s">
        <v>252</v>
      </c>
      <c r="C131" s="465" t="s">
        <v>341</v>
      </c>
      <c r="D131" s="487">
        <f>SUM(D132:D147)</f>
        <v>187222</v>
      </c>
      <c r="E131" s="487">
        <f>SUM(E132:E147)</f>
        <v>161731.5</v>
      </c>
      <c r="F131" s="488">
        <f>SUM(F132:F138)</f>
        <v>4163</v>
      </c>
      <c r="G131" s="491">
        <f>+E131-D131</f>
        <v>-25490.5</v>
      </c>
      <c r="H131" s="483">
        <f>+G131/D131*100</f>
        <v>-13.615120017946609</v>
      </c>
      <c r="I131" s="336"/>
      <c r="J131" s="209"/>
      <c r="K131" s="137"/>
      <c r="L131" s="210"/>
      <c r="M131" s="468"/>
      <c r="N131" s="468"/>
      <c r="O131" s="211"/>
      <c r="P131" s="209">
        <f>SUM(P132,P141,P146)</f>
        <v>161731500</v>
      </c>
      <c r="Q131" s="160" t="s">
        <v>318</v>
      </c>
      <c r="R131" s="257"/>
    </row>
    <row r="132" spans="1:18" ht="15.95" customHeight="1">
      <c r="A132" s="269"/>
      <c r="B132" s="332" t="s">
        <v>203</v>
      </c>
      <c r="C132" s="711" t="s">
        <v>461</v>
      </c>
      <c r="D132" s="657">
        <v>7442</v>
      </c>
      <c r="E132" s="644">
        <f>+P132/1000</f>
        <v>6951.5</v>
      </c>
      <c r="F132" s="647">
        <v>4163</v>
      </c>
      <c r="G132" s="654">
        <f>+E132-D132</f>
        <v>-490.5</v>
      </c>
      <c r="H132" s="652">
        <f>+G132/D132*100</f>
        <v>-6.5909701693093252</v>
      </c>
      <c r="I132" s="122"/>
      <c r="J132" s="57"/>
      <c r="K132" s="67"/>
      <c r="L132" s="68"/>
      <c r="M132" s="564" t="s">
        <v>355</v>
      </c>
      <c r="N132" s="564"/>
      <c r="O132" s="564"/>
      <c r="P132" s="57">
        <f>SUM(P133,P139,P140)</f>
        <v>6951500</v>
      </c>
      <c r="Q132" s="53" t="s">
        <v>318</v>
      </c>
      <c r="R132" s="257"/>
    </row>
    <row r="133" spans="1:18" ht="15.95" customHeight="1">
      <c r="A133" s="269"/>
      <c r="B133" s="469"/>
      <c r="C133" s="712"/>
      <c r="D133" s="658"/>
      <c r="E133" s="645"/>
      <c r="F133" s="649"/>
      <c r="G133" s="656"/>
      <c r="H133" s="732"/>
      <c r="I133" s="353" t="s">
        <v>194</v>
      </c>
      <c r="J133" s="354"/>
      <c r="K133" s="355"/>
      <c r="L133" s="356"/>
      <c r="M133" s="357"/>
      <c r="N133" s="357"/>
      <c r="O133" s="197"/>
      <c r="P133" s="65">
        <f>SUM(P134:P138)</f>
        <v>4551500</v>
      </c>
      <c r="Q133" s="66" t="s">
        <v>318</v>
      </c>
      <c r="R133" s="257"/>
    </row>
    <row r="134" spans="1:18" ht="15.95" customHeight="1">
      <c r="A134" s="269"/>
      <c r="B134" s="466"/>
      <c r="C134" s="712"/>
      <c r="D134" s="658"/>
      <c r="E134" s="645"/>
      <c r="F134" s="649"/>
      <c r="G134" s="656"/>
      <c r="H134" s="732"/>
      <c r="I134" s="128" t="s">
        <v>62</v>
      </c>
      <c r="J134" s="65">
        <v>0</v>
      </c>
      <c r="K134" s="77" t="s">
        <v>318</v>
      </c>
      <c r="L134" s="78" t="s">
        <v>334</v>
      </c>
      <c r="M134" s="486"/>
      <c r="N134" s="486" t="s">
        <v>332</v>
      </c>
      <c r="O134" s="64" t="s">
        <v>336</v>
      </c>
      <c r="P134" s="65">
        <f t="shared" ref="P134:P139" si="7">SUM(J134*M134)</f>
        <v>0</v>
      </c>
      <c r="Q134" s="66" t="s">
        <v>318</v>
      </c>
      <c r="R134" s="257"/>
    </row>
    <row r="135" spans="1:18" ht="15.95" customHeight="1">
      <c r="A135" s="269"/>
      <c r="B135" s="466"/>
      <c r="C135" s="712"/>
      <c r="D135" s="658"/>
      <c r="E135" s="645"/>
      <c r="F135" s="649"/>
      <c r="G135" s="656"/>
      <c r="H135" s="732"/>
      <c r="I135" s="128" t="s">
        <v>55</v>
      </c>
      <c r="J135" s="65">
        <v>401500</v>
      </c>
      <c r="K135" s="77" t="s">
        <v>318</v>
      </c>
      <c r="L135" s="78" t="s">
        <v>334</v>
      </c>
      <c r="M135" s="486">
        <v>1</v>
      </c>
      <c r="N135" s="486" t="s">
        <v>511</v>
      </c>
      <c r="O135" s="64" t="s">
        <v>336</v>
      </c>
      <c r="P135" s="65">
        <f t="shared" si="7"/>
        <v>401500</v>
      </c>
      <c r="Q135" s="66" t="s">
        <v>318</v>
      </c>
      <c r="R135" s="257"/>
    </row>
    <row r="136" spans="1:18" ht="15.95" customHeight="1">
      <c r="A136" s="269"/>
      <c r="B136" s="466"/>
      <c r="C136" s="712"/>
      <c r="D136" s="658"/>
      <c r="E136" s="645"/>
      <c r="F136" s="649"/>
      <c r="G136" s="656"/>
      <c r="H136" s="732"/>
      <c r="I136" s="47" t="s">
        <v>274</v>
      </c>
      <c r="J136" s="30">
        <v>3940000</v>
      </c>
      <c r="K136" s="41" t="s">
        <v>318</v>
      </c>
      <c r="L136" s="42" t="s">
        <v>334</v>
      </c>
      <c r="M136" s="43">
        <v>1</v>
      </c>
      <c r="N136" s="43" t="s">
        <v>332</v>
      </c>
      <c r="O136" s="44" t="s">
        <v>336</v>
      </c>
      <c r="P136" s="30">
        <f t="shared" si="7"/>
        <v>3940000</v>
      </c>
      <c r="Q136" s="45" t="s">
        <v>318</v>
      </c>
      <c r="R136" s="257"/>
    </row>
    <row r="137" spans="1:18" ht="15.95" customHeight="1">
      <c r="A137" s="331"/>
      <c r="B137" s="358"/>
      <c r="C137" s="712"/>
      <c r="D137" s="658"/>
      <c r="E137" s="645"/>
      <c r="F137" s="649"/>
      <c r="G137" s="656"/>
      <c r="H137" s="732"/>
      <c r="I137" s="284" t="s">
        <v>432</v>
      </c>
      <c r="J137" s="65">
        <v>0</v>
      </c>
      <c r="K137" s="77" t="s">
        <v>318</v>
      </c>
      <c r="L137" s="78" t="s">
        <v>334</v>
      </c>
      <c r="M137" s="486"/>
      <c r="N137" s="486" t="s">
        <v>332</v>
      </c>
      <c r="O137" s="64"/>
      <c r="P137" s="65">
        <f t="shared" si="7"/>
        <v>0</v>
      </c>
      <c r="Q137" s="66" t="s">
        <v>318</v>
      </c>
      <c r="R137" s="257"/>
    </row>
    <row r="138" spans="1:18" ht="15.95" customHeight="1">
      <c r="A138" s="269"/>
      <c r="B138" s="466"/>
      <c r="C138" s="712"/>
      <c r="D138" s="658"/>
      <c r="E138" s="645"/>
      <c r="F138" s="649"/>
      <c r="G138" s="656"/>
      <c r="H138" s="732"/>
      <c r="I138" s="281" t="s">
        <v>450</v>
      </c>
      <c r="J138" s="30">
        <v>210000</v>
      </c>
      <c r="K138" s="41" t="s">
        <v>318</v>
      </c>
      <c r="L138" s="42" t="s">
        <v>334</v>
      </c>
      <c r="M138" s="43">
        <v>1</v>
      </c>
      <c r="N138" s="43" t="s">
        <v>332</v>
      </c>
      <c r="O138" s="43"/>
      <c r="P138" s="30">
        <f t="shared" si="7"/>
        <v>210000</v>
      </c>
      <c r="Q138" s="45" t="s">
        <v>318</v>
      </c>
      <c r="R138" s="277"/>
    </row>
    <row r="139" spans="1:18" ht="15.75" customHeight="1">
      <c r="A139" s="269"/>
      <c r="B139" s="466"/>
      <c r="C139" s="712"/>
      <c r="D139" s="658"/>
      <c r="E139" s="645"/>
      <c r="F139" s="475"/>
      <c r="G139" s="656"/>
      <c r="H139" s="732"/>
      <c r="I139" s="237" t="s">
        <v>220</v>
      </c>
      <c r="J139" s="30">
        <v>200000</v>
      </c>
      <c r="K139" s="41" t="s">
        <v>318</v>
      </c>
      <c r="L139" s="42" t="s">
        <v>334</v>
      </c>
      <c r="M139" s="43">
        <v>2</v>
      </c>
      <c r="N139" s="43" t="s">
        <v>332</v>
      </c>
      <c r="O139" s="43"/>
      <c r="P139" s="30">
        <f t="shared" si="7"/>
        <v>400000</v>
      </c>
      <c r="Q139" s="45" t="s">
        <v>318</v>
      </c>
      <c r="R139" s="277"/>
    </row>
    <row r="140" spans="1:18" ht="15.75" customHeight="1">
      <c r="A140" s="359"/>
      <c r="B140" s="466"/>
      <c r="C140" s="714"/>
      <c r="D140" s="659"/>
      <c r="E140" s="646"/>
      <c r="F140" s="475"/>
      <c r="G140" s="655"/>
      <c r="H140" s="653"/>
      <c r="I140" s="237" t="s">
        <v>398</v>
      </c>
      <c r="J140" s="23">
        <v>200000</v>
      </c>
      <c r="K140" s="24" t="s">
        <v>318</v>
      </c>
      <c r="L140" s="25" t="s">
        <v>334</v>
      </c>
      <c r="M140" s="26">
        <v>10</v>
      </c>
      <c r="N140" s="26" t="s">
        <v>332</v>
      </c>
      <c r="O140" s="26"/>
      <c r="P140" s="23">
        <f>SUM(J140*M140)</f>
        <v>2000000</v>
      </c>
      <c r="Q140" s="45" t="s">
        <v>318</v>
      </c>
      <c r="R140" s="277" t="s">
        <v>535</v>
      </c>
    </row>
    <row r="141" spans="1:18" ht="15.95" customHeight="1">
      <c r="A141" s="359"/>
      <c r="B141" s="358"/>
      <c r="C141" s="728" t="s">
        <v>243</v>
      </c>
      <c r="D141" s="705">
        <v>29780</v>
      </c>
      <c r="E141" s="726">
        <f>P141/1000</f>
        <v>29780</v>
      </c>
      <c r="F141" s="684">
        <v>80151</v>
      </c>
      <c r="G141" s="731">
        <f>+E141-D141</f>
        <v>0</v>
      </c>
      <c r="H141" s="734">
        <f>+G141/D141*100</f>
        <v>0</v>
      </c>
      <c r="I141" s="122"/>
      <c r="J141" s="57"/>
      <c r="K141" s="67"/>
      <c r="L141" s="68"/>
      <c r="M141" s="564" t="s">
        <v>355</v>
      </c>
      <c r="N141" s="564"/>
      <c r="O141" s="564"/>
      <c r="P141" s="57">
        <f>SUM(P142:P145)</f>
        <v>29780000</v>
      </c>
      <c r="Q141" s="53" t="s">
        <v>318</v>
      </c>
      <c r="R141" s="257"/>
    </row>
    <row r="142" spans="1:18" ht="15.95" customHeight="1">
      <c r="A142" s="269"/>
      <c r="B142" s="358"/>
      <c r="C142" s="728"/>
      <c r="D142" s="705"/>
      <c r="E142" s="726"/>
      <c r="F142" s="684"/>
      <c r="G142" s="731"/>
      <c r="H142" s="734"/>
      <c r="I142" s="360" t="s">
        <v>281</v>
      </c>
      <c r="J142" s="65">
        <v>0</v>
      </c>
      <c r="K142" s="77" t="s">
        <v>318</v>
      </c>
      <c r="L142" s="78" t="s">
        <v>334</v>
      </c>
      <c r="M142" s="486">
        <v>1</v>
      </c>
      <c r="N142" s="486" t="s">
        <v>332</v>
      </c>
      <c r="O142" s="64" t="s">
        <v>336</v>
      </c>
      <c r="P142" s="65">
        <f>SUM(J142*M142)</f>
        <v>0</v>
      </c>
      <c r="Q142" s="66" t="s">
        <v>318</v>
      </c>
      <c r="R142" s="257"/>
    </row>
    <row r="143" spans="1:18" ht="15.95" customHeight="1">
      <c r="A143" s="269"/>
      <c r="B143" s="466"/>
      <c r="C143" s="728"/>
      <c r="D143" s="705"/>
      <c r="E143" s="726"/>
      <c r="F143" s="684"/>
      <c r="G143" s="731"/>
      <c r="H143" s="734"/>
      <c r="I143" s="297" t="s">
        <v>304</v>
      </c>
      <c r="J143" s="65">
        <v>880000</v>
      </c>
      <c r="K143" s="77" t="s">
        <v>318</v>
      </c>
      <c r="L143" s="78" t="s">
        <v>334</v>
      </c>
      <c r="M143" s="486">
        <v>1</v>
      </c>
      <c r="N143" s="486" t="s">
        <v>332</v>
      </c>
      <c r="O143" s="64" t="s">
        <v>336</v>
      </c>
      <c r="P143" s="65">
        <f>SUM(J143*M143)</f>
        <v>880000</v>
      </c>
      <c r="Q143" s="66" t="s">
        <v>318</v>
      </c>
      <c r="R143" s="257" t="s">
        <v>467</v>
      </c>
    </row>
    <row r="144" spans="1:18" ht="15.95" customHeight="1">
      <c r="A144" s="269"/>
      <c r="B144" s="466"/>
      <c r="C144" s="728"/>
      <c r="D144" s="705"/>
      <c r="E144" s="726"/>
      <c r="F144" s="684"/>
      <c r="G144" s="731"/>
      <c r="H144" s="734"/>
      <c r="I144" s="297" t="s">
        <v>411</v>
      </c>
      <c r="J144" s="65">
        <v>10000000</v>
      </c>
      <c r="K144" s="77" t="s">
        <v>318</v>
      </c>
      <c r="L144" s="78" t="s">
        <v>334</v>
      </c>
      <c r="M144" s="486">
        <v>1</v>
      </c>
      <c r="N144" s="486" t="s">
        <v>332</v>
      </c>
      <c r="O144" s="64" t="s">
        <v>336</v>
      </c>
      <c r="P144" s="65">
        <f>SUM(J144*M144)</f>
        <v>10000000</v>
      </c>
      <c r="Q144" s="66" t="s">
        <v>318</v>
      </c>
      <c r="R144" s="257"/>
    </row>
    <row r="145" spans="1:18" ht="15.95" customHeight="1">
      <c r="A145" s="269"/>
      <c r="B145" s="466"/>
      <c r="C145" s="728"/>
      <c r="D145" s="705"/>
      <c r="E145" s="726"/>
      <c r="F145" s="684"/>
      <c r="G145" s="731"/>
      <c r="H145" s="650"/>
      <c r="I145" s="361" t="s">
        <v>246</v>
      </c>
      <c r="J145" s="70">
        <v>18900000</v>
      </c>
      <c r="K145" s="71" t="s">
        <v>318</v>
      </c>
      <c r="L145" s="72" t="s">
        <v>334</v>
      </c>
      <c r="M145" s="73">
        <v>1</v>
      </c>
      <c r="N145" s="73" t="s">
        <v>332</v>
      </c>
      <c r="O145" s="74" t="s">
        <v>336</v>
      </c>
      <c r="P145" s="70">
        <f>SUM(J145*M145)</f>
        <v>18900000</v>
      </c>
      <c r="Q145" s="75" t="s">
        <v>318</v>
      </c>
      <c r="R145" s="257" t="s">
        <v>0</v>
      </c>
    </row>
    <row r="146" spans="1:18" ht="15.95" customHeight="1">
      <c r="A146" s="331"/>
      <c r="B146" s="469"/>
      <c r="C146" s="737" t="s">
        <v>303</v>
      </c>
      <c r="D146" s="705">
        <v>150000</v>
      </c>
      <c r="E146" s="726">
        <f>+P146/1000</f>
        <v>125000</v>
      </c>
      <c r="F146" s="488"/>
      <c r="G146" s="733">
        <f>+E146-D146</f>
        <v>-25000</v>
      </c>
      <c r="H146" s="650">
        <f>+G146/D146*100</f>
        <v>-16.666666666666664</v>
      </c>
      <c r="I146" s="499"/>
      <c r="J146" s="57"/>
      <c r="K146" s="67"/>
      <c r="L146" s="68"/>
      <c r="M146" s="564" t="s">
        <v>355</v>
      </c>
      <c r="N146" s="564"/>
      <c r="O146" s="564"/>
      <c r="P146" s="57">
        <f>SUM(P147:P147)</f>
        <v>125000000</v>
      </c>
      <c r="Q146" s="53" t="s">
        <v>318</v>
      </c>
      <c r="R146" s="257"/>
    </row>
    <row r="147" spans="1:18" ht="15.95" customHeight="1">
      <c r="A147" s="352"/>
      <c r="B147" s="469"/>
      <c r="C147" s="738"/>
      <c r="D147" s="705"/>
      <c r="E147" s="726"/>
      <c r="F147" s="488"/>
      <c r="G147" s="733"/>
      <c r="H147" s="651"/>
      <c r="I147" s="39" t="s">
        <v>303</v>
      </c>
      <c r="J147" s="22">
        <v>12500000</v>
      </c>
      <c r="K147" s="34" t="s">
        <v>318</v>
      </c>
      <c r="L147" s="19" t="s">
        <v>334</v>
      </c>
      <c r="M147" s="18">
        <v>10</v>
      </c>
      <c r="N147" s="18" t="s">
        <v>332</v>
      </c>
      <c r="O147" s="20" t="s">
        <v>336</v>
      </c>
      <c r="P147" s="22">
        <f>J147*M147</f>
        <v>125000000</v>
      </c>
      <c r="Q147" s="45" t="s">
        <v>318</v>
      </c>
      <c r="R147" s="257" t="s">
        <v>504</v>
      </c>
    </row>
    <row r="148" spans="1:18" ht="20.100000000000001" customHeight="1">
      <c r="A148" s="362"/>
      <c r="B148" s="113" t="s">
        <v>81</v>
      </c>
      <c r="C148" s="493" t="s">
        <v>341</v>
      </c>
      <c r="D148" s="470">
        <f>+D149+D153+D157</f>
        <v>20315</v>
      </c>
      <c r="E148" s="472">
        <f>SUM(E149:E158)</f>
        <v>15515</v>
      </c>
      <c r="F148" s="473" t="e">
        <f>+#REF!+F149+#REF!+#REF!+F157</f>
        <v>#REF!</v>
      </c>
      <c r="G148" s="481">
        <f t="shared" ref="G148:G150" si="8">+E148-D148</f>
        <v>-4800</v>
      </c>
      <c r="H148" s="482">
        <f>+G148/D148*100</f>
        <v>-23.627861186315531</v>
      </c>
      <c r="I148" s="499"/>
      <c r="J148" s="123"/>
      <c r="K148" s="67"/>
      <c r="L148" s="68"/>
      <c r="M148" s="461"/>
      <c r="N148" s="461"/>
      <c r="O148" s="213"/>
      <c r="P148" s="123">
        <f>SUM(P149,P153,P157)</f>
        <v>15515000</v>
      </c>
      <c r="Q148" s="53" t="s">
        <v>318</v>
      </c>
      <c r="R148" s="257"/>
    </row>
    <row r="149" spans="1:18" ht="15.95" customHeight="1">
      <c r="A149" s="269"/>
      <c r="B149" s="466"/>
      <c r="C149" s="697" t="s">
        <v>110</v>
      </c>
      <c r="D149" s="657">
        <v>3115</v>
      </c>
      <c r="E149" s="644">
        <f>P149/1000</f>
        <v>3115</v>
      </c>
      <c r="F149" s="647">
        <v>14521</v>
      </c>
      <c r="G149" s="654">
        <f t="shared" si="8"/>
        <v>0</v>
      </c>
      <c r="H149" s="650">
        <f>+G149/D149*100</f>
        <v>0</v>
      </c>
      <c r="I149" s="499"/>
      <c r="J149" s="57"/>
      <c r="K149" s="67"/>
      <c r="L149" s="68"/>
      <c r="M149" s="564" t="s">
        <v>355</v>
      </c>
      <c r="N149" s="564"/>
      <c r="O149" s="564"/>
      <c r="P149" s="57">
        <f>SUM(P150:P152)</f>
        <v>3115000</v>
      </c>
      <c r="Q149" s="53" t="s">
        <v>318</v>
      </c>
      <c r="R149" s="257"/>
    </row>
    <row r="150" spans="1:18" ht="15.95" customHeight="1">
      <c r="A150" s="269"/>
      <c r="B150" s="466"/>
      <c r="C150" s="691"/>
      <c r="D150" s="658"/>
      <c r="E150" s="645"/>
      <c r="F150" s="649"/>
      <c r="G150" s="656">
        <f t="shared" si="8"/>
        <v>0</v>
      </c>
      <c r="H150" s="651" t="e">
        <f>+G150/D150*100</f>
        <v>#DIV/0!</v>
      </c>
      <c r="I150" s="58" t="s">
        <v>460</v>
      </c>
      <c r="J150" s="59">
        <v>255000</v>
      </c>
      <c r="K150" s="60" t="s">
        <v>318</v>
      </c>
      <c r="L150" s="61" t="s">
        <v>334</v>
      </c>
      <c r="M150" s="62">
        <v>1</v>
      </c>
      <c r="N150" s="486" t="s">
        <v>332</v>
      </c>
      <c r="O150" s="64" t="s">
        <v>336</v>
      </c>
      <c r="P150" s="65">
        <f>SUM(J150*M150)</f>
        <v>255000</v>
      </c>
      <c r="Q150" s="66" t="s">
        <v>318</v>
      </c>
      <c r="R150" s="277" t="s">
        <v>465</v>
      </c>
    </row>
    <row r="151" spans="1:18" ht="15.95" customHeight="1">
      <c r="A151" s="269"/>
      <c r="B151" s="466"/>
      <c r="C151" s="691"/>
      <c r="D151" s="658"/>
      <c r="E151" s="645"/>
      <c r="F151" s="649"/>
      <c r="G151" s="656"/>
      <c r="H151" s="651"/>
      <c r="I151" s="58" t="s">
        <v>72</v>
      </c>
      <c r="J151" s="59">
        <v>0</v>
      </c>
      <c r="K151" s="60" t="s">
        <v>318</v>
      </c>
      <c r="L151" s="61" t="s">
        <v>334</v>
      </c>
      <c r="M151" s="62">
        <v>1</v>
      </c>
      <c r="N151" s="486" t="s">
        <v>332</v>
      </c>
      <c r="O151" s="64" t="s">
        <v>336</v>
      </c>
      <c r="P151" s="65">
        <f>SUM(J151*M151)</f>
        <v>0</v>
      </c>
      <c r="Q151" s="66" t="s">
        <v>318</v>
      </c>
      <c r="R151" s="277"/>
    </row>
    <row r="152" spans="1:18" ht="15.95" customHeight="1">
      <c r="A152" s="269"/>
      <c r="B152" s="466"/>
      <c r="C152" s="691"/>
      <c r="D152" s="658"/>
      <c r="E152" s="645"/>
      <c r="F152" s="649"/>
      <c r="G152" s="656"/>
      <c r="H152" s="651"/>
      <c r="I152" s="58" t="s">
        <v>262</v>
      </c>
      <c r="J152" s="59">
        <v>1430000</v>
      </c>
      <c r="K152" s="60" t="s">
        <v>318</v>
      </c>
      <c r="L152" s="61" t="s">
        <v>334</v>
      </c>
      <c r="M152" s="62">
        <v>2</v>
      </c>
      <c r="N152" s="486" t="s">
        <v>332</v>
      </c>
      <c r="O152" s="64" t="s">
        <v>336</v>
      </c>
      <c r="P152" s="65">
        <f>SUM(J152*M152)</f>
        <v>2860000</v>
      </c>
      <c r="Q152" s="66" t="s">
        <v>318</v>
      </c>
      <c r="R152" s="277" t="s">
        <v>45</v>
      </c>
    </row>
    <row r="153" spans="1:18" ht="15.95" customHeight="1">
      <c r="A153" s="269"/>
      <c r="B153" s="466"/>
      <c r="C153" s="711" t="s">
        <v>462</v>
      </c>
      <c r="D153" s="657">
        <v>17000</v>
      </c>
      <c r="E153" s="644">
        <f>P153/1000</f>
        <v>12200</v>
      </c>
      <c r="F153" s="473"/>
      <c r="G153" s="654">
        <f>E153-D153</f>
        <v>-4800</v>
      </c>
      <c r="H153" s="650">
        <f>+G153/D153*100</f>
        <v>-28.235294117647058</v>
      </c>
      <c r="I153" s="501"/>
      <c r="J153" s="502"/>
      <c r="K153" s="503"/>
      <c r="L153" s="504"/>
      <c r="M153" s="577" t="s">
        <v>355</v>
      </c>
      <c r="N153" s="577"/>
      <c r="O153" s="577"/>
      <c r="P153" s="57">
        <f>SUM(P154:P156)</f>
        <v>12200000</v>
      </c>
      <c r="Q153" s="53" t="s">
        <v>318</v>
      </c>
      <c r="R153" s="277"/>
    </row>
    <row r="154" spans="1:18" ht="15.95" customHeight="1">
      <c r="A154" s="269"/>
      <c r="B154" s="466"/>
      <c r="C154" s="693"/>
      <c r="D154" s="658"/>
      <c r="E154" s="645"/>
      <c r="F154" s="475"/>
      <c r="G154" s="656"/>
      <c r="H154" s="651" t="e">
        <f>+G154/D154*100</f>
        <v>#DIV/0!</v>
      </c>
      <c r="I154" s="500" t="s">
        <v>400</v>
      </c>
      <c r="J154" s="22">
        <v>5000000</v>
      </c>
      <c r="K154" s="34" t="s">
        <v>318</v>
      </c>
      <c r="L154" s="19" t="s">
        <v>334</v>
      </c>
      <c r="M154" s="18">
        <v>1</v>
      </c>
      <c r="N154" s="43" t="s">
        <v>332</v>
      </c>
      <c r="O154" s="44" t="s">
        <v>336</v>
      </c>
      <c r="P154" s="30">
        <f>SUM(J154*M154)</f>
        <v>5000000</v>
      </c>
      <c r="Q154" s="45" t="s">
        <v>318</v>
      </c>
      <c r="R154" s="277" t="s">
        <v>543</v>
      </c>
    </row>
    <row r="155" spans="1:18" ht="15.95" customHeight="1">
      <c r="A155" s="269"/>
      <c r="B155" s="466"/>
      <c r="C155" s="693"/>
      <c r="D155" s="658"/>
      <c r="E155" s="645"/>
      <c r="F155" s="475"/>
      <c r="G155" s="656"/>
      <c r="H155" s="651"/>
      <c r="I155" s="58" t="s">
        <v>370</v>
      </c>
      <c r="J155" s="59">
        <v>400000</v>
      </c>
      <c r="K155" s="60" t="s">
        <v>318</v>
      </c>
      <c r="L155" s="61" t="s">
        <v>334</v>
      </c>
      <c r="M155" s="62">
        <v>12</v>
      </c>
      <c r="N155" s="486" t="s">
        <v>332</v>
      </c>
      <c r="O155" s="64" t="s">
        <v>336</v>
      </c>
      <c r="P155" s="65">
        <f>SUM(J155*M155)</f>
        <v>4800000</v>
      </c>
      <c r="Q155" s="66" t="s">
        <v>318</v>
      </c>
      <c r="R155" s="277" t="s">
        <v>453</v>
      </c>
    </row>
    <row r="156" spans="1:18" ht="15.95" customHeight="1">
      <c r="A156" s="269"/>
      <c r="B156" s="466"/>
      <c r="C156" s="694"/>
      <c r="D156" s="659"/>
      <c r="E156" s="646"/>
      <c r="F156" s="474"/>
      <c r="G156" s="655"/>
      <c r="H156" s="651"/>
      <c r="I156" s="508" t="s">
        <v>396</v>
      </c>
      <c r="J156" s="22">
        <v>200000</v>
      </c>
      <c r="K156" s="34" t="s">
        <v>318</v>
      </c>
      <c r="L156" s="19" t="s">
        <v>334</v>
      </c>
      <c r="M156" s="18">
        <v>12</v>
      </c>
      <c r="N156" s="43" t="s">
        <v>332</v>
      </c>
      <c r="O156" s="44" t="s">
        <v>336</v>
      </c>
      <c r="P156" s="30">
        <f>SUM(J156*M156)</f>
        <v>2400000</v>
      </c>
      <c r="Q156" s="45" t="s">
        <v>318</v>
      </c>
      <c r="R156" s="277" t="s">
        <v>451</v>
      </c>
    </row>
    <row r="157" spans="1:18" ht="15.95" customHeight="1">
      <c r="A157" s="269"/>
      <c r="B157" s="466"/>
      <c r="C157" s="695" t="s">
        <v>168</v>
      </c>
      <c r="D157" s="657">
        <v>200</v>
      </c>
      <c r="E157" s="644">
        <f>+P157/1000</f>
        <v>200</v>
      </c>
      <c r="F157" s="647">
        <v>346</v>
      </c>
      <c r="G157" s="654">
        <f>+E157-D157</f>
        <v>0</v>
      </c>
      <c r="H157" s="650">
        <v>0</v>
      </c>
      <c r="I157" s="499"/>
      <c r="J157" s="57"/>
      <c r="K157" s="67"/>
      <c r="L157" s="68"/>
      <c r="M157" s="564" t="s">
        <v>355</v>
      </c>
      <c r="N157" s="564"/>
      <c r="O157" s="564"/>
      <c r="P157" s="57">
        <f>SUM(P158:P158)</f>
        <v>200000</v>
      </c>
      <c r="Q157" s="53" t="s">
        <v>318</v>
      </c>
      <c r="R157" s="257"/>
    </row>
    <row r="158" spans="1:18" ht="19.5" customHeight="1">
      <c r="A158" s="269"/>
      <c r="B158" s="467"/>
      <c r="C158" s="696"/>
      <c r="D158" s="659"/>
      <c r="E158" s="646"/>
      <c r="F158" s="648"/>
      <c r="G158" s="655"/>
      <c r="H158" s="669"/>
      <c r="I158" s="69" t="s">
        <v>168</v>
      </c>
      <c r="J158" s="70">
        <v>100000</v>
      </c>
      <c r="K158" s="71" t="s">
        <v>318</v>
      </c>
      <c r="L158" s="72" t="s">
        <v>334</v>
      </c>
      <c r="M158" s="73">
        <v>2</v>
      </c>
      <c r="N158" s="73" t="s">
        <v>332</v>
      </c>
      <c r="O158" s="74" t="s">
        <v>336</v>
      </c>
      <c r="P158" s="70">
        <f>SUM(J158*M158)</f>
        <v>200000</v>
      </c>
      <c r="Q158" s="75" t="s">
        <v>318</v>
      </c>
      <c r="R158" s="277" t="s">
        <v>454</v>
      </c>
    </row>
    <row r="159" spans="1:18" ht="20.100000000000001" customHeight="1">
      <c r="A159" s="362" t="s">
        <v>363</v>
      </c>
      <c r="B159" s="113" t="s">
        <v>232</v>
      </c>
      <c r="C159" s="493" t="s">
        <v>341</v>
      </c>
      <c r="D159" s="470">
        <f>SUM(D160:D160:D164)</f>
        <v>3463</v>
      </c>
      <c r="E159" s="472">
        <f>SUM(E160:E162)</f>
        <v>1713</v>
      </c>
      <c r="F159" s="473">
        <f>SUM(F160:F169)</f>
        <v>16820</v>
      </c>
      <c r="G159" s="481">
        <f>+E159-D159</f>
        <v>-1750</v>
      </c>
      <c r="H159" s="482">
        <f>+G159/D159*100</f>
        <v>-50.534218885359515</v>
      </c>
      <c r="I159" s="336"/>
      <c r="J159" s="209"/>
      <c r="K159" s="137"/>
      <c r="L159" s="210"/>
      <c r="M159" s="468"/>
      <c r="N159" s="468"/>
      <c r="O159" s="211"/>
      <c r="P159" s="209">
        <f>SUM(P160,P162)</f>
        <v>1712500</v>
      </c>
      <c r="Q159" s="160" t="s">
        <v>318</v>
      </c>
      <c r="R159" s="257"/>
    </row>
    <row r="160" spans="1:18" ht="15.95" customHeight="1">
      <c r="A160" s="269"/>
      <c r="B160" s="466"/>
      <c r="C160" s="695" t="s">
        <v>211</v>
      </c>
      <c r="D160" s="657">
        <v>1750</v>
      </c>
      <c r="E160" s="644">
        <f>P160/1000</f>
        <v>0</v>
      </c>
      <c r="F160" s="647">
        <v>300</v>
      </c>
      <c r="G160" s="654">
        <f>+E160-D160</f>
        <v>-1750</v>
      </c>
      <c r="H160" s="652">
        <f>G160/D160*100</f>
        <v>-100</v>
      </c>
      <c r="I160" s="499"/>
      <c r="J160" s="123"/>
      <c r="K160" s="67"/>
      <c r="L160" s="68"/>
      <c r="M160" s="564" t="s">
        <v>355</v>
      </c>
      <c r="N160" s="564"/>
      <c r="O160" s="564"/>
      <c r="P160" s="123">
        <f>SUM(P161:P161)</f>
        <v>0</v>
      </c>
      <c r="Q160" s="53" t="s">
        <v>318</v>
      </c>
      <c r="R160" s="277"/>
    </row>
    <row r="161" spans="1:33" ht="15.95" customHeight="1">
      <c r="A161" s="269"/>
      <c r="B161" s="466"/>
      <c r="C161" s="691"/>
      <c r="D161" s="658"/>
      <c r="E161" s="645"/>
      <c r="F161" s="649"/>
      <c r="G161" s="656"/>
      <c r="H161" s="653"/>
      <c r="I161" s="36" t="s">
        <v>29</v>
      </c>
      <c r="J161" s="30">
        <v>0</v>
      </c>
      <c r="K161" s="41" t="s">
        <v>318</v>
      </c>
      <c r="L161" s="42" t="s">
        <v>334</v>
      </c>
      <c r="M161" s="43">
        <v>1</v>
      </c>
      <c r="N161" s="43" t="s">
        <v>319</v>
      </c>
      <c r="O161" s="44" t="s">
        <v>336</v>
      </c>
      <c r="P161" s="30">
        <f>SUM(J161*M161)</f>
        <v>0</v>
      </c>
      <c r="Q161" s="45" t="s">
        <v>318</v>
      </c>
      <c r="R161" s="277" t="s">
        <v>44</v>
      </c>
    </row>
    <row r="162" spans="1:33" ht="15.95" customHeight="1">
      <c r="A162" s="269"/>
      <c r="B162" s="466"/>
      <c r="C162" s="711" t="s">
        <v>472</v>
      </c>
      <c r="D162" s="657">
        <v>1713</v>
      </c>
      <c r="E162" s="644">
        <v>1713</v>
      </c>
      <c r="F162" s="647">
        <v>2900</v>
      </c>
      <c r="G162" s="654">
        <f>+E162-D162</f>
        <v>0</v>
      </c>
      <c r="H162" s="650">
        <f>+G162/D162*100</f>
        <v>0</v>
      </c>
      <c r="I162" s="499"/>
      <c r="J162" s="57"/>
      <c r="K162" s="67"/>
      <c r="L162" s="68"/>
      <c r="M162" s="564" t="s">
        <v>355</v>
      </c>
      <c r="N162" s="564"/>
      <c r="O162" s="564"/>
      <c r="P162" s="57">
        <f>SUM(P163:P164)</f>
        <v>1712500</v>
      </c>
      <c r="Q162" s="53" t="s">
        <v>318</v>
      </c>
      <c r="R162" s="257"/>
    </row>
    <row r="163" spans="1:33" ht="15.95" customHeight="1">
      <c r="A163" s="269"/>
      <c r="B163" s="466"/>
      <c r="C163" s="712"/>
      <c r="D163" s="658"/>
      <c r="E163" s="645"/>
      <c r="F163" s="649"/>
      <c r="G163" s="656">
        <f>+E163-D163</f>
        <v>0</v>
      </c>
      <c r="H163" s="651" t="e">
        <f>+G163/D163*100</f>
        <v>#DIV/0!</v>
      </c>
      <c r="I163" s="76" t="s">
        <v>97</v>
      </c>
      <c r="J163" s="65">
        <v>1300000</v>
      </c>
      <c r="K163" s="77" t="s">
        <v>318</v>
      </c>
      <c r="L163" s="78" t="s">
        <v>334</v>
      </c>
      <c r="M163" s="486">
        <v>1</v>
      </c>
      <c r="N163" s="486" t="s">
        <v>332</v>
      </c>
      <c r="O163" s="64" t="s">
        <v>336</v>
      </c>
      <c r="P163" s="65">
        <f>SUM(J163*M163)</f>
        <v>1300000</v>
      </c>
      <c r="Q163" s="66" t="s">
        <v>318</v>
      </c>
      <c r="R163" s="277" t="s">
        <v>126</v>
      </c>
    </row>
    <row r="164" spans="1:33" ht="15.95" customHeight="1">
      <c r="A164" s="269"/>
      <c r="B164" s="467"/>
      <c r="C164" s="714"/>
      <c r="D164" s="659"/>
      <c r="E164" s="646"/>
      <c r="F164" s="648"/>
      <c r="G164" s="655">
        <f>+E164-D164</f>
        <v>0</v>
      </c>
      <c r="H164" s="669" t="e">
        <f>+G164/D164*100</f>
        <v>#DIV/0!</v>
      </c>
      <c r="I164" s="69" t="s">
        <v>414</v>
      </c>
      <c r="J164" s="70">
        <v>412500</v>
      </c>
      <c r="K164" s="71" t="s">
        <v>318</v>
      </c>
      <c r="L164" s="72" t="s">
        <v>334</v>
      </c>
      <c r="M164" s="73">
        <v>1</v>
      </c>
      <c r="N164" s="73" t="s">
        <v>332</v>
      </c>
      <c r="O164" s="74" t="s">
        <v>336</v>
      </c>
      <c r="P164" s="70">
        <f>SUM(J164*M164)</f>
        <v>412500</v>
      </c>
      <c r="Q164" s="75" t="s">
        <v>318</v>
      </c>
      <c r="R164" s="277" t="s">
        <v>126</v>
      </c>
    </row>
    <row r="165" spans="1:33" ht="20.100000000000001" customHeight="1">
      <c r="A165" s="352"/>
      <c r="B165" s="341" t="s">
        <v>546</v>
      </c>
      <c r="C165" s="493" t="s">
        <v>341</v>
      </c>
      <c r="D165" s="479">
        <f>SUM(D166:D169)</f>
        <v>8886</v>
      </c>
      <c r="E165" s="477">
        <f>P165/1000</f>
        <v>8886</v>
      </c>
      <c r="F165" s="473"/>
      <c r="G165" s="477">
        <f>E165-D165</f>
        <v>0</v>
      </c>
      <c r="H165" s="476">
        <f>G165/D165*100</f>
        <v>0</v>
      </c>
      <c r="I165" s="499"/>
      <c r="J165" s="57"/>
      <c r="K165" s="67"/>
      <c r="L165" s="68"/>
      <c r="M165" s="461"/>
      <c r="N165" s="461"/>
      <c r="O165" s="213"/>
      <c r="P165" s="57">
        <f>P166</f>
        <v>8886000</v>
      </c>
      <c r="Q165" s="53" t="s">
        <v>318</v>
      </c>
      <c r="R165" s="277"/>
    </row>
    <row r="166" spans="1:33" ht="15.95" customHeight="1">
      <c r="A166" s="359"/>
      <c r="B166" s="332" t="s">
        <v>547</v>
      </c>
      <c r="C166" s="692" t="s">
        <v>119</v>
      </c>
      <c r="D166" s="657">
        <v>8886</v>
      </c>
      <c r="E166" s="644">
        <f>+P166/1000</f>
        <v>8886</v>
      </c>
      <c r="F166" s="647">
        <v>13620</v>
      </c>
      <c r="G166" s="654">
        <f>+E166-D166</f>
        <v>0</v>
      </c>
      <c r="H166" s="650">
        <f>+G166/D166*100</f>
        <v>0</v>
      </c>
      <c r="I166" s="499"/>
      <c r="J166" s="57"/>
      <c r="K166" s="67"/>
      <c r="L166" s="68"/>
      <c r="M166" s="564" t="s">
        <v>355</v>
      </c>
      <c r="N166" s="564"/>
      <c r="O166" s="564"/>
      <c r="P166" s="57">
        <f>SUM(P167:P169)</f>
        <v>8886000</v>
      </c>
      <c r="Q166" s="53" t="s">
        <v>318</v>
      </c>
      <c r="R166" s="277"/>
    </row>
    <row r="167" spans="1:33" ht="15.95" customHeight="1">
      <c r="A167" s="359"/>
      <c r="B167" s="466"/>
      <c r="C167" s="693"/>
      <c r="D167" s="658"/>
      <c r="E167" s="645"/>
      <c r="F167" s="649"/>
      <c r="G167" s="656"/>
      <c r="H167" s="651"/>
      <c r="I167" s="363" t="s">
        <v>240</v>
      </c>
      <c r="J167" s="65">
        <v>1600000</v>
      </c>
      <c r="K167" s="77" t="s">
        <v>318</v>
      </c>
      <c r="L167" s="78" t="s">
        <v>334</v>
      </c>
      <c r="M167" s="486">
        <v>1</v>
      </c>
      <c r="N167" s="486" t="s">
        <v>332</v>
      </c>
      <c r="O167" s="64" t="s">
        <v>336</v>
      </c>
      <c r="P167" s="65">
        <f t="shared" ref="P167:P169" si="9">SUM(J167*M167)</f>
        <v>1600000</v>
      </c>
      <c r="Q167" s="66" t="s">
        <v>318</v>
      </c>
      <c r="R167" s="277"/>
      <c r="S167" s="112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2"/>
      <c r="AG167" s="112"/>
    </row>
    <row r="168" spans="1:33" ht="15.95" customHeight="1">
      <c r="A168" s="359"/>
      <c r="B168" s="466"/>
      <c r="C168" s="693"/>
      <c r="D168" s="658"/>
      <c r="E168" s="645"/>
      <c r="F168" s="649"/>
      <c r="G168" s="656"/>
      <c r="H168" s="651"/>
      <c r="I168" s="76" t="s">
        <v>238</v>
      </c>
      <c r="J168" s="65">
        <v>3500000</v>
      </c>
      <c r="K168" s="77" t="s">
        <v>318</v>
      </c>
      <c r="L168" s="78" t="s">
        <v>334</v>
      </c>
      <c r="M168" s="486">
        <v>2</v>
      </c>
      <c r="N168" s="486" t="s">
        <v>332</v>
      </c>
      <c r="O168" s="64" t="s">
        <v>336</v>
      </c>
      <c r="P168" s="65">
        <f t="shared" si="9"/>
        <v>7000000</v>
      </c>
      <c r="Q168" s="66" t="s">
        <v>318</v>
      </c>
      <c r="R168" s="277" t="s">
        <v>1</v>
      </c>
    </row>
    <row r="169" spans="1:33" ht="15.95" customHeight="1">
      <c r="A169" s="359"/>
      <c r="B169" s="466"/>
      <c r="C169" s="693"/>
      <c r="D169" s="658"/>
      <c r="E169" s="645"/>
      <c r="F169" s="649"/>
      <c r="G169" s="656"/>
      <c r="H169" s="651"/>
      <c r="I169" s="76" t="s">
        <v>270</v>
      </c>
      <c r="J169" s="65">
        <v>286000</v>
      </c>
      <c r="K169" s="77" t="s">
        <v>318</v>
      </c>
      <c r="L169" s="78" t="s">
        <v>334</v>
      </c>
      <c r="M169" s="486">
        <v>1</v>
      </c>
      <c r="N169" s="486" t="s">
        <v>332</v>
      </c>
      <c r="O169" s="64" t="s">
        <v>336</v>
      </c>
      <c r="P169" s="65">
        <f t="shared" si="9"/>
        <v>286000</v>
      </c>
      <c r="Q169" s="66" t="s">
        <v>318</v>
      </c>
      <c r="R169" s="277" t="s">
        <v>501</v>
      </c>
    </row>
    <row r="170" spans="1:33" ht="20.100000000000001" customHeight="1">
      <c r="A170" s="362"/>
      <c r="B170" s="113" t="s">
        <v>141</v>
      </c>
      <c r="C170" s="497" t="s">
        <v>341</v>
      </c>
      <c r="D170" s="487">
        <f>SUM(D171:D177)</f>
        <v>15505</v>
      </c>
      <c r="E170" s="489">
        <f>SUM(E171:E177)</f>
        <v>15505</v>
      </c>
      <c r="F170" s="488">
        <f>SUM(F171:F177)</f>
        <v>18973</v>
      </c>
      <c r="G170" s="491">
        <f>+E170-D170</f>
        <v>0</v>
      </c>
      <c r="H170" s="490">
        <f>+G170/D170*100</f>
        <v>0</v>
      </c>
      <c r="I170" s="327"/>
      <c r="J170" s="209"/>
      <c r="K170" s="137"/>
      <c r="L170" s="210"/>
      <c r="M170" s="468"/>
      <c r="N170" s="468"/>
      <c r="O170" s="211"/>
      <c r="P170" s="364">
        <f>SUM(P171,P176)</f>
        <v>15505000</v>
      </c>
      <c r="Q170" s="160" t="s">
        <v>318</v>
      </c>
      <c r="R170" s="277"/>
    </row>
    <row r="171" spans="1:33" ht="15.95" customHeight="1">
      <c r="A171" s="269"/>
      <c r="B171" s="466"/>
      <c r="C171" s="711" t="s">
        <v>226</v>
      </c>
      <c r="D171" s="657">
        <v>8960</v>
      </c>
      <c r="E171" s="644">
        <f>+P171/1000</f>
        <v>8960</v>
      </c>
      <c r="F171" s="647">
        <v>18973</v>
      </c>
      <c r="G171" s="654">
        <f>+E171-D171</f>
        <v>0</v>
      </c>
      <c r="H171" s="650">
        <f>+G171/D171*100</f>
        <v>0</v>
      </c>
      <c r="I171" s="499"/>
      <c r="J171" s="57"/>
      <c r="K171" s="67"/>
      <c r="L171" s="68"/>
      <c r="M171" s="564" t="s">
        <v>355</v>
      </c>
      <c r="N171" s="564"/>
      <c r="O171" s="564"/>
      <c r="P171" s="57">
        <f>SUM(P172:P175)</f>
        <v>8960000</v>
      </c>
      <c r="Q171" s="53" t="s">
        <v>318</v>
      </c>
      <c r="R171" s="277"/>
    </row>
    <row r="172" spans="1:33" ht="15.95" customHeight="1">
      <c r="A172" s="269"/>
      <c r="B172" s="466"/>
      <c r="C172" s="712"/>
      <c r="D172" s="658"/>
      <c r="E172" s="645"/>
      <c r="F172" s="649"/>
      <c r="G172" s="656"/>
      <c r="H172" s="651"/>
      <c r="I172" s="76" t="s">
        <v>204</v>
      </c>
      <c r="J172" s="65">
        <v>4300000</v>
      </c>
      <c r="K172" s="77" t="s">
        <v>318</v>
      </c>
      <c r="L172" s="78" t="s">
        <v>334</v>
      </c>
      <c r="M172" s="486">
        <v>1</v>
      </c>
      <c r="N172" s="486" t="s">
        <v>332</v>
      </c>
      <c r="O172" s="486" t="s">
        <v>336</v>
      </c>
      <c r="P172" s="65">
        <f>J172*M172</f>
        <v>4300000</v>
      </c>
      <c r="Q172" s="66" t="s">
        <v>318</v>
      </c>
      <c r="R172" s="277" t="s">
        <v>516</v>
      </c>
    </row>
    <row r="173" spans="1:33" ht="15.95" customHeight="1">
      <c r="A173" s="269"/>
      <c r="B173" s="466"/>
      <c r="C173" s="712"/>
      <c r="D173" s="658"/>
      <c r="E173" s="645"/>
      <c r="F173" s="475"/>
      <c r="G173" s="656"/>
      <c r="H173" s="651"/>
      <c r="I173" s="76" t="s">
        <v>382</v>
      </c>
      <c r="J173" s="65">
        <v>560000</v>
      </c>
      <c r="K173" s="77" t="s">
        <v>318</v>
      </c>
      <c r="L173" s="78" t="s">
        <v>334</v>
      </c>
      <c r="M173" s="486">
        <v>1</v>
      </c>
      <c r="N173" s="486" t="s">
        <v>332</v>
      </c>
      <c r="O173" s="486" t="s">
        <v>336</v>
      </c>
      <c r="P173" s="65">
        <f>SUM(J173*M173)</f>
        <v>560000</v>
      </c>
      <c r="Q173" s="66" t="s">
        <v>318</v>
      </c>
      <c r="R173" s="277" t="s">
        <v>442</v>
      </c>
    </row>
    <row r="174" spans="1:33" ht="15.95" customHeight="1">
      <c r="A174" s="269"/>
      <c r="B174" s="466"/>
      <c r="C174" s="712"/>
      <c r="D174" s="658"/>
      <c r="E174" s="645"/>
      <c r="F174" s="475"/>
      <c r="G174" s="656"/>
      <c r="H174" s="651"/>
      <c r="I174" s="76" t="s">
        <v>237</v>
      </c>
      <c r="J174" s="65">
        <v>1750000</v>
      </c>
      <c r="K174" s="77" t="s">
        <v>318</v>
      </c>
      <c r="L174" s="78" t="s">
        <v>334</v>
      </c>
      <c r="M174" s="486">
        <v>2</v>
      </c>
      <c r="N174" s="486" t="s">
        <v>332</v>
      </c>
      <c r="O174" s="486" t="s">
        <v>336</v>
      </c>
      <c r="P174" s="65">
        <f>SUM(J174*M174)</f>
        <v>3500000</v>
      </c>
      <c r="Q174" s="66" t="s">
        <v>318</v>
      </c>
      <c r="R174" s="277" t="s">
        <v>39</v>
      </c>
    </row>
    <row r="175" spans="1:33" ht="15.95" customHeight="1">
      <c r="A175" s="269"/>
      <c r="B175" s="466"/>
      <c r="C175" s="712"/>
      <c r="D175" s="658"/>
      <c r="E175" s="645"/>
      <c r="F175" s="475"/>
      <c r="G175" s="656"/>
      <c r="H175" s="651"/>
      <c r="I175" s="76" t="s">
        <v>214</v>
      </c>
      <c r="J175" s="65">
        <v>300000</v>
      </c>
      <c r="K175" s="77" t="s">
        <v>318</v>
      </c>
      <c r="L175" s="78" t="s">
        <v>334</v>
      </c>
      <c r="M175" s="486">
        <v>2</v>
      </c>
      <c r="N175" s="486" t="s">
        <v>332</v>
      </c>
      <c r="O175" s="486" t="s">
        <v>336</v>
      </c>
      <c r="P175" s="65">
        <f>SUM(J175*M175)</f>
        <v>600000</v>
      </c>
      <c r="Q175" s="66" t="s">
        <v>318</v>
      </c>
      <c r="R175" s="329" t="s">
        <v>458</v>
      </c>
    </row>
    <row r="176" spans="1:33" ht="15.95" customHeight="1">
      <c r="A176" s="269"/>
      <c r="B176" s="466"/>
      <c r="C176" s="721" t="s">
        <v>82</v>
      </c>
      <c r="D176" s="705">
        <v>6545</v>
      </c>
      <c r="E176" s="727">
        <f>+P176/1000</f>
        <v>6545</v>
      </c>
      <c r="F176" s="766">
        <v>0</v>
      </c>
      <c r="G176" s="731">
        <f>+E176-D176</f>
        <v>0</v>
      </c>
      <c r="H176" s="734">
        <v>0</v>
      </c>
      <c r="I176" s="499"/>
      <c r="J176" s="54"/>
      <c r="K176" s="55"/>
      <c r="L176" s="56"/>
      <c r="M176" s="577" t="s">
        <v>355</v>
      </c>
      <c r="N176" s="577"/>
      <c r="O176" s="577"/>
      <c r="P176" s="54">
        <f>SUM(P177:P177)</f>
        <v>6545000</v>
      </c>
      <c r="Q176" s="82" t="s">
        <v>318</v>
      </c>
      <c r="R176" s="277"/>
    </row>
    <row r="177" spans="1:19" ht="15.95" customHeight="1">
      <c r="A177" s="269"/>
      <c r="B177" s="466"/>
      <c r="C177" s="721"/>
      <c r="D177" s="705"/>
      <c r="E177" s="727"/>
      <c r="F177" s="766"/>
      <c r="G177" s="731"/>
      <c r="H177" s="734"/>
      <c r="I177" s="303" t="s">
        <v>293</v>
      </c>
      <c r="J177" s="59">
        <v>6545000</v>
      </c>
      <c r="K177" s="60" t="s">
        <v>318</v>
      </c>
      <c r="L177" s="61" t="s">
        <v>334</v>
      </c>
      <c r="M177" s="62">
        <v>1</v>
      </c>
      <c r="N177" s="62" t="s">
        <v>332</v>
      </c>
      <c r="O177" s="79" t="s">
        <v>336</v>
      </c>
      <c r="P177" s="59">
        <f>SUM(J177*M177)</f>
        <v>6545000</v>
      </c>
      <c r="Q177" s="80" t="s">
        <v>318</v>
      </c>
      <c r="R177" s="277" t="s">
        <v>463</v>
      </c>
    </row>
    <row r="178" spans="1:19" ht="20.100000000000001" customHeight="1">
      <c r="A178" s="269"/>
      <c r="B178" s="365" t="s">
        <v>95</v>
      </c>
      <c r="C178" s="83" t="s">
        <v>341</v>
      </c>
      <c r="D178" s="489">
        <f>SUM(D179:D183)</f>
        <v>47394</v>
      </c>
      <c r="E178" s="489">
        <f>SUM(E179:E183)</f>
        <v>55994</v>
      </c>
      <c r="F178" s="366" t="e">
        <f>SUM(#REF!)</f>
        <v>#REF!</v>
      </c>
      <c r="G178" s="491">
        <f>E178-D178</f>
        <v>8600</v>
      </c>
      <c r="H178" s="490">
        <f>+G178/D178*100</f>
        <v>18.145756846858252</v>
      </c>
      <c r="I178" s="336"/>
      <c r="J178" s="209"/>
      <c r="K178" s="137"/>
      <c r="L178" s="210"/>
      <c r="M178" s="468"/>
      <c r="N178" s="468"/>
      <c r="O178" s="211"/>
      <c r="P178" s="364">
        <f>SUM(P179,P181)</f>
        <v>55994000</v>
      </c>
      <c r="Q178" s="139" t="s">
        <v>318</v>
      </c>
      <c r="R178" s="257"/>
    </row>
    <row r="179" spans="1:19" ht="15.95" customHeight="1">
      <c r="A179" s="269"/>
      <c r="B179" s="367"/>
      <c r="C179" s="711" t="s">
        <v>108</v>
      </c>
      <c r="D179" s="640">
        <v>26000</v>
      </c>
      <c r="E179" s="642">
        <f>+P179/1000</f>
        <v>22000</v>
      </c>
      <c r="F179" s="647">
        <v>661</v>
      </c>
      <c r="G179" s="654">
        <f>E179-D179</f>
        <v>-4000</v>
      </c>
      <c r="H179" s="672">
        <f>G179/D179*100</f>
        <v>-15.384615384615385</v>
      </c>
      <c r="I179" s="498"/>
      <c r="J179" s="57"/>
      <c r="K179" s="67"/>
      <c r="L179" s="68"/>
      <c r="M179" s="564" t="s">
        <v>355</v>
      </c>
      <c r="N179" s="564"/>
      <c r="O179" s="564"/>
      <c r="P179" s="57">
        <f>SUM(P180:P180)</f>
        <v>22000000</v>
      </c>
      <c r="Q179" s="53" t="s">
        <v>318</v>
      </c>
      <c r="R179" s="257"/>
    </row>
    <row r="180" spans="1:19" ht="15.95" customHeight="1">
      <c r="A180" s="269"/>
      <c r="B180" s="367"/>
      <c r="C180" s="712"/>
      <c r="D180" s="641"/>
      <c r="E180" s="643"/>
      <c r="F180" s="649"/>
      <c r="G180" s="656"/>
      <c r="H180" s="674"/>
      <c r="I180" s="37" t="s">
        <v>531</v>
      </c>
      <c r="J180" s="30">
        <v>11000000</v>
      </c>
      <c r="K180" s="41" t="s">
        <v>318</v>
      </c>
      <c r="L180" s="42" t="s">
        <v>334</v>
      </c>
      <c r="M180" s="43">
        <v>2</v>
      </c>
      <c r="N180" s="43" t="s">
        <v>332</v>
      </c>
      <c r="O180" s="43" t="s">
        <v>336</v>
      </c>
      <c r="P180" s="30">
        <f>+J180*M180</f>
        <v>22000000</v>
      </c>
      <c r="Q180" s="45" t="s">
        <v>318</v>
      </c>
      <c r="R180" s="368"/>
      <c r="S180" s="86" t="s">
        <v>376</v>
      </c>
    </row>
    <row r="181" spans="1:19" ht="15.95" customHeight="1">
      <c r="A181" s="369"/>
      <c r="B181" s="370"/>
      <c r="C181" s="711" t="s">
        <v>266</v>
      </c>
      <c r="D181" s="640">
        <v>21394</v>
      </c>
      <c r="E181" s="642">
        <f>+P181/1000</f>
        <v>33994</v>
      </c>
      <c r="F181" s="647">
        <v>661</v>
      </c>
      <c r="G181" s="731">
        <f>E181-D181</f>
        <v>12600</v>
      </c>
      <c r="H181" s="672">
        <f>G181/D181*100</f>
        <v>58.895017294568575</v>
      </c>
      <c r="I181" s="170"/>
      <c r="J181" s="54"/>
      <c r="K181" s="55"/>
      <c r="L181" s="56"/>
      <c r="M181" s="577" t="s">
        <v>355</v>
      </c>
      <c r="N181" s="577"/>
      <c r="O181" s="577"/>
      <c r="P181" s="54">
        <f>SUM(P182:P183)</f>
        <v>33994000</v>
      </c>
      <c r="Q181" s="82" t="s">
        <v>318</v>
      </c>
      <c r="R181" s="329"/>
    </row>
    <row r="182" spans="1:19" ht="15.95" customHeight="1">
      <c r="A182" s="269"/>
      <c r="B182" s="367"/>
      <c r="C182" s="712"/>
      <c r="D182" s="641"/>
      <c r="E182" s="643"/>
      <c r="F182" s="649"/>
      <c r="G182" s="731"/>
      <c r="H182" s="674"/>
      <c r="I182" s="297" t="s">
        <v>433</v>
      </c>
      <c r="J182" s="59">
        <v>924250</v>
      </c>
      <c r="K182" s="77" t="s">
        <v>318</v>
      </c>
      <c r="L182" s="78" t="s">
        <v>334</v>
      </c>
      <c r="M182" s="486">
        <v>8</v>
      </c>
      <c r="N182" s="486" t="s">
        <v>333</v>
      </c>
      <c r="O182" s="64" t="s">
        <v>336</v>
      </c>
      <c r="P182" s="59">
        <f>+J182*M182</f>
        <v>7394000</v>
      </c>
      <c r="Q182" s="66" t="s">
        <v>318</v>
      </c>
      <c r="R182" s="329"/>
      <c r="S182" s="86" t="s">
        <v>15</v>
      </c>
    </row>
    <row r="183" spans="1:19" ht="15.95" customHeight="1">
      <c r="A183" s="269"/>
      <c r="B183" s="512"/>
      <c r="C183" s="714"/>
      <c r="D183" s="679"/>
      <c r="E183" s="680"/>
      <c r="F183" s="648"/>
      <c r="G183" s="731"/>
      <c r="H183" s="673"/>
      <c r="I183" s="513" t="s">
        <v>99</v>
      </c>
      <c r="J183" s="32">
        <v>70000</v>
      </c>
      <c r="K183" s="24" t="s">
        <v>318</v>
      </c>
      <c r="L183" s="25" t="s">
        <v>334</v>
      </c>
      <c r="M183" s="26">
        <v>380</v>
      </c>
      <c r="N183" s="26" t="s">
        <v>332</v>
      </c>
      <c r="O183" s="27" t="s">
        <v>336</v>
      </c>
      <c r="P183" s="32">
        <f>+J183*M183</f>
        <v>26600000</v>
      </c>
      <c r="Q183" s="28" t="s">
        <v>318</v>
      </c>
      <c r="R183" s="329"/>
      <c r="S183" s="86" t="s">
        <v>26</v>
      </c>
    </row>
    <row r="184" spans="1:19" ht="20.100000000000001" customHeight="1">
      <c r="A184" s="331" t="s">
        <v>363</v>
      </c>
      <c r="B184" s="113" t="s">
        <v>142</v>
      </c>
      <c r="C184" s="495" t="s">
        <v>341</v>
      </c>
      <c r="D184" s="470">
        <f>SUM(D185:D194)</f>
        <v>12764</v>
      </c>
      <c r="E184" s="472">
        <f>SUM(E185:E194)</f>
        <v>12764</v>
      </c>
      <c r="F184" s="473">
        <f>SUM(F185:F194)</f>
        <v>16571</v>
      </c>
      <c r="G184" s="481">
        <f>+E184-D184</f>
        <v>0</v>
      </c>
      <c r="H184" s="482">
        <f>+G184/D184*100</f>
        <v>0</v>
      </c>
      <c r="I184" s="372"/>
      <c r="J184" s="54"/>
      <c r="K184" s="55"/>
      <c r="L184" s="457"/>
      <c r="M184" s="165"/>
      <c r="N184" s="165"/>
      <c r="O184" s="458"/>
      <c r="P184" s="459">
        <f>SUM(P185,P192)</f>
        <v>12764000</v>
      </c>
      <c r="Q184" s="460" t="s">
        <v>318</v>
      </c>
      <c r="R184" s="329"/>
    </row>
    <row r="185" spans="1:19" ht="15.95" customHeight="1">
      <c r="A185" s="269"/>
      <c r="B185" s="371"/>
      <c r="C185" s="692" t="s">
        <v>112</v>
      </c>
      <c r="D185" s="640">
        <v>10204</v>
      </c>
      <c r="E185" s="642">
        <f>+P185/1000</f>
        <v>10204</v>
      </c>
      <c r="F185" s="647">
        <v>9358</v>
      </c>
      <c r="G185" s="670">
        <f>+E185-D185</f>
        <v>0</v>
      </c>
      <c r="H185" s="672">
        <f>+G185/D185*100</f>
        <v>0</v>
      </c>
      <c r="I185" s="372"/>
      <c r="J185" s="54"/>
      <c r="K185" s="55"/>
      <c r="L185" s="55"/>
      <c r="M185" s="577" t="s">
        <v>355</v>
      </c>
      <c r="N185" s="577"/>
      <c r="O185" s="577"/>
      <c r="P185" s="81">
        <f>SUM(P186:P191)</f>
        <v>10204000</v>
      </c>
      <c r="Q185" s="82" t="s">
        <v>318</v>
      </c>
      <c r="R185" s="329"/>
    </row>
    <row r="186" spans="1:19" ht="15.95" customHeight="1">
      <c r="A186" s="269"/>
      <c r="B186" s="466"/>
      <c r="C186" s="693"/>
      <c r="D186" s="641"/>
      <c r="E186" s="643"/>
      <c r="F186" s="649"/>
      <c r="G186" s="671"/>
      <c r="H186" s="674"/>
      <c r="I186" s="462" t="s">
        <v>109</v>
      </c>
      <c r="J186" s="59">
        <v>22000</v>
      </c>
      <c r="K186" s="60" t="s">
        <v>318</v>
      </c>
      <c r="L186" s="61" t="s">
        <v>334</v>
      </c>
      <c r="M186" s="62">
        <v>12</v>
      </c>
      <c r="N186" s="62" t="s">
        <v>333</v>
      </c>
      <c r="O186" s="79" t="s">
        <v>336</v>
      </c>
      <c r="P186" s="59">
        <f t="shared" ref="P186:P190" si="10">SUM(J186*M186)</f>
        <v>264000</v>
      </c>
      <c r="Q186" s="80" t="s">
        <v>318</v>
      </c>
      <c r="R186" s="329"/>
    </row>
    <row r="187" spans="1:19" ht="15.95" customHeight="1">
      <c r="A187" s="269"/>
      <c r="B187" s="466"/>
      <c r="C187" s="693"/>
      <c r="D187" s="641"/>
      <c r="E187" s="643"/>
      <c r="F187" s="649"/>
      <c r="G187" s="671"/>
      <c r="H187" s="674"/>
      <c r="I187" s="462" t="s">
        <v>206</v>
      </c>
      <c r="J187" s="59">
        <v>320000</v>
      </c>
      <c r="K187" s="60" t="s">
        <v>318</v>
      </c>
      <c r="L187" s="61" t="s">
        <v>334</v>
      </c>
      <c r="M187" s="62">
        <v>12</v>
      </c>
      <c r="N187" s="62" t="s">
        <v>333</v>
      </c>
      <c r="O187" s="79" t="s">
        <v>336</v>
      </c>
      <c r="P187" s="59">
        <f t="shared" si="10"/>
        <v>3840000</v>
      </c>
      <c r="Q187" s="80" t="s">
        <v>318</v>
      </c>
      <c r="R187" s="329"/>
    </row>
    <row r="188" spans="1:19" ht="15.95" customHeight="1">
      <c r="A188" s="269"/>
      <c r="B188" s="466"/>
      <c r="C188" s="693"/>
      <c r="D188" s="641"/>
      <c r="E188" s="643"/>
      <c r="F188" s="649"/>
      <c r="G188" s="671"/>
      <c r="H188" s="674"/>
      <c r="I188" s="462" t="s">
        <v>430</v>
      </c>
      <c r="J188" s="59">
        <v>85000</v>
      </c>
      <c r="K188" s="60" t="s">
        <v>318</v>
      </c>
      <c r="L188" s="61" t="s">
        <v>334</v>
      </c>
      <c r="M188" s="62">
        <v>12</v>
      </c>
      <c r="N188" s="62" t="s">
        <v>333</v>
      </c>
      <c r="O188" s="79" t="s">
        <v>336</v>
      </c>
      <c r="P188" s="59">
        <f t="shared" si="10"/>
        <v>1020000</v>
      </c>
      <c r="Q188" s="80" t="s">
        <v>318</v>
      </c>
      <c r="R188" s="329"/>
      <c r="S188" s="86" t="s">
        <v>4</v>
      </c>
    </row>
    <row r="189" spans="1:19" ht="15.95" customHeight="1">
      <c r="A189" s="269"/>
      <c r="B189" s="466"/>
      <c r="C189" s="693"/>
      <c r="D189" s="641"/>
      <c r="E189" s="643"/>
      <c r="F189" s="649"/>
      <c r="G189" s="671"/>
      <c r="H189" s="674"/>
      <c r="I189" s="462" t="s">
        <v>284</v>
      </c>
      <c r="J189" s="59">
        <v>380000</v>
      </c>
      <c r="K189" s="60" t="s">
        <v>318</v>
      </c>
      <c r="L189" s="61" t="s">
        <v>334</v>
      </c>
      <c r="M189" s="62">
        <v>12</v>
      </c>
      <c r="N189" s="62" t="s">
        <v>333</v>
      </c>
      <c r="O189" s="79" t="s">
        <v>336</v>
      </c>
      <c r="P189" s="59">
        <f t="shared" si="10"/>
        <v>4560000</v>
      </c>
      <c r="Q189" s="80" t="s">
        <v>318</v>
      </c>
      <c r="R189" s="329"/>
      <c r="S189" s="86" t="s">
        <v>8</v>
      </c>
    </row>
    <row r="190" spans="1:19" ht="15.95" customHeight="1">
      <c r="A190" s="269"/>
      <c r="B190" s="466"/>
      <c r="C190" s="693"/>
      <c r="D190" s="641"/>
      <c r="E190" s="643"/>
      <c r="F190" s="649"/>
      <c r="G190" s="671"/>
      <c r="H190" s="674"/>
      <c r="I190" s="462" t="s">
        <v>402</v>
      </c>
      <c r="J190" s="59">
        <v>35000</v>
      </c>
      <c r="K190" s="60" t="s">
        <v>318</v>
      </c>
      <c r="L190" s="61" t="s">
        <v>334</v>
      </c>
      <c r="M190" s="62">
        <v>12</v>
      </c>
      <c r="N190" s="62" t="s">
        <v>332</v>
      </c>
      <c r="O190" s="79" t="s">
        <v>336</v>
      </c>
      <c r="P190" s="59">
        <f t="shared" si="10"/>
        <v>420000</v>
      </c>
      <c r="Q190" s="80" t="s">
        <v>318</v>
      </c>
      <c r="R190" s="329"/>
    </row>
    <row r="191" spans="1:19" ht="15.95" customHeight="1">
      <c r="A191" s="269"/>
      <c r="B191" s="466"/>
      <c r="C191" s="693"/>
      <c r="D191" s="641"/>
      <c r="E191" s="643"/>
      <c r="F191" s="475"/>
      <c r="G191" s="671"/>
      <c r="H191" s="674"/>
      <c r="I191" s="462" t="s">
        <v>251</v>
      </c>
      <c r="J191" s="59">
        <v>100000</v>
      </c>
      <c r="K191" s="60" t="s">
        <v>318</v>
      </c>
      <c r="L191" s="61" t="s">
        <v>334</v>
      </c>
      <c r="M191" s="62">
        <v>1</v>
      </c>
      <c r="N191" s="62" t="s">
        <v>332</v>
      </c>
      <c r="O191" s="79" t="s">
        <v>336</v>
      </c>
      <c r="P191" s="59">
        <f>J191*M191</f>
        <v>100000</v>
      </c>
      <c r="Q191" s="80" t="s">
        <v>318</v>
      </c>
      <c r="R191" s="329"/>
    </row>
    <row r="192" spans="1:19" ht="15.95" customHeight="1">
      <c r="A192" s="269"/>
      <c r="B192" s="466"/>
      <c r="C192" s="692" t="s">
        <v>150</v>
      </c>
      <c r="D192" s="640">
        <v>2560</v>
      </c>
      <c r="E192" s="642">
        <f>+P192/1000</f>
        <v>2560</v>
      </c>
      <c r="F192" s="647">
        <v>7213</v>
      </c>
      <c r="G192" s="670">
        <f>+E192-D192</f>
        <v>0</v>
      </c>
      <c r="H192" s="672"/>
      <c r="I192" s="372"/>
      <c r="J192" s="54"/>
      <c r="K192" s="55"/>
      <c r="L192" s="56"/>
      <c r="M192" s="577" t="s">
        <v>355</v>
      </c>
      <c r="N192" s="577"/>
      <c r="O192" s="577"/>
      <c r="P192" s="81">
        <f>SUM(P193:P194)</f>
        <v>2560000</v>
      </c>
      <c r="Q192" s="82" t="s">
        <v>318</v>
      </c>
      <c r="R192" s="329"/>
    </row>
    <row r="193" spans="1:18" ht="15.95" customHeight="1">
      <c r="A193" s="269"/>
      <c r="B193" s="466"/>
      <c r="C193" s="693"/>
      <c r="D193" s="722"/>
      <c r="E193" s="765"/>
      <c r="F193" s="649"/>
      <c r="G193" s="756"/>
      <c r="H193" s="755"/>
      <c r="I193" s="373" t="s">
        <v>234</v>
      </c>
      <c r="J193" s="59">
        <v>130000</v>
      </c>
      <c r="K193" s="60" t="s">
        <v>318</v>
      </c>
      <c r="L193" s="61" t="s">
        <v>334</v>
      </c>
      <c r="M193" s="62">
        <v>12</v>
      </c>
      <c r="N193" s="62" t="s">
        <v>332</v>
      </c>
      <c r="O193" s="79"/>
      <c r="P193" s="59">
        <f>SUM(J193*M193)</f>
        <v>1560000</v>
      </c>
      <c r="Q193" s="80" t="s">
        <v>318</v>
      </c>
      <c r="R193" s="329" t="s">
        <v>517</v>
      </c>
    </row>
    <row r="194" spans="1:18" ht="15.95" customHeight="1">
      <c r="A194" s="269"/>
      <c r="B194" s="466"/>
      <c r="C194" s="693"/>
      <c r="D194" s="722"/>
      <c r="E194" s="765"/>
      <c r="F194" s="649"/>
      <c r="G194" s="756"/>
      <c r="H194" s="755"/>
      <c r="I194" s="462" t="s">
        <v>225</v>
      </c>
      <c r="J194" s="59">
        <v>1000000</v>
      </c>
      <c r="K194" s="60" t="s">
        <v>318</v>
      </c>
      <c r="L194" s="61" t="s">
        <v>334</v>
      </c>
      <c r="M194" s="62">
        <v>1</v>
      </c>
      <c r="N194" s="62" t="s">
        <v>332</v>
      </c>
      <c r="O194" s="79" t="s">
        <v>336</v>
      </c>
      <c r="P194" s="59">
        <f>SUM(J194*M194)</f>
        <v>1000000</v>
      </c>
      <c r="Q194" s="80" t="s">
        <v>318</v>
      </c>
      <c r="R194" s="329" t="s">
        <v>429</v>
      </c>
    </row>
    <row r="195" spans="1:18" ht="18" customHeight="1">
      <c r="A195" s="101"/>
      <c r="B195" s="113" t="s">
        <v>79</v>
      </c>
      <c r="C195" s="496" t="s">
        <v>341</v>
      </c>
      <c r="D195" s="487">
        <f>SUM(D196:D197)</f>
        <v>20000</v>
      </c>
      <c r="E195" s="489">
        <f>SUM(E196:E197)</f>
        <v>0</v>
      </c>
      <c r="F195" s="488">
        <f>SUM(F196:F197)</f>
        <v>2500</v>
      </c>
      <c r="G195" s="491">
        <f>+E195-D195</f>
        <v>-20000</v>
      </c>
      <c r="H195" s="490">
        <f>+G195/D195*100</f>
        <v>-100</v>
      </c>
      <c r="I195" s="336"/>
      <c r="J195" s="209"/>
      <c r="K195" s="137"/>
      <c r="L195" s="210"/>
      <c r="M195" s="468"/>
      <c r="N195" s="468"/>
      <c r="O195" s="211"/>
      <c r="P195" s="209">
        <f>P196</f>
        <v>0</v>
      </c>
      <c r="Q195" s="160" t="s">
        <v>318</v>
      </c>
      <c r="R195" s="277"/>
    </row>
    <row r="196" spans="1:18" ht="18" customHeight="1">
      <c r="A196" s="119"/>
      <c r="B196" s="374" t="s">
        <v>363</v>
      </c>
      <c r="C196" s="711" t="s">
        <v>267</v>
      </c>
      <c r="D196" s="640">
        <v>20000</v>
      </c>
      <c r="E196" s="642">
        <f>+P196/1000</f>
        <v>0</v>
      </c>
      <c r="F196" s="647">
        <v>2500</v>
      </c>
      <c r="G196" s="670">
        <f>+E196-D196</f>
        <v>-20000</v>
      </c>
      <c r="H196" s="675">
        <f>+G196/D196*100</f>
        <v>-100</v>
      </c>
      <c r="I196" s="735"/>
      <c r="J196" s="736"/>
      <c r="K196" s="67"/>
      <c r="L196" s="461"/>
      <c r="M196" s="564" t="s">
        <v>355</v>
      </c>
      <c r="N196" s="564"/>
      <c r="O196" s="564"/>
      <c r="P196" s="123">
        <f>SUM(P197:P198)</f>
        <v>0</v>
      </c>
      <c r="Q196" s="53" t="s">
        <v>318</v>
      </c>
      <c r="R196" s="277"/>
    </row>
    <row r="197" spans="1:18" ht="18" customHeight="1">
      <c r="A197" s="119"/>
      <c r="B197" s="463"/>
      <c r="C197" s="712"/>
      <c r="D197" s="641"/>
      <c r="E197" s="643"/>
      <c r="F197" s="648"/>
      <c r="G197" s="671"/>
      <c r="H197" s="676"/>
      <c r="I197" s="37" t="s">
        <v>131</v>
      </c>
      <c r="J197" s="40">
        <v>0</v>
      </c>
      <c r="K197" s="41" t="s">
        <v>318</v>
      </c>
      <c r="L197" s="42" t="s">
        <v>334</v>
      </c>
      <c r="M197" s="43">
        <v>1</v>
      </c>
      <c r="N197" s="43" t="s">
        <v>332</v>
      </c>
      <c r="O197" s="44" t="s">
        <v>336</v>
      </c>
      <c r="P197" s="40">
        <f>SUM(J197*M197)</f>
        <v>0</v>
      </c>
      <c r="Q197" s="45" t="s">
        <v>318</v>
      </c>
      <c r="R197" s="277"/>
    </row>
    <row r="198" spans="1:18" ht="18" customHeight="1">
      <c r="A198" s="200"/>
      <c r="B198" s="464"/>
      <c r="C198" s="714"/>
      <c r="D198" s="679"/>
      <c r="E198" s="680"/>
      <c r="F198" s="475"/>
      <c r="G198" s="678"/>
      <c r="H198" s="677"/>
      <c r="I198" s="38" t="s">
        <v>298</v>
      </c>
      <c r="J198" s="40">
        <v>0</v>
      </c>
      <c r="K198" s="41" t="s">
        <v>318</v>
      </c>
      <c r="L198" s="42" t="s">
        <v>334</v>
      </c>
      <c r="M198" s="43">
        <v>2</v>
      </c>
      <c r="N198" s="43" t="s">
        <v>332</v>
      </c>
      <c r="O198" s="44" t="s">
        <v>336</v>
      </c>
      <c r="P198" s="40">
        <f>SUM(J198*M198)</f>
        <v>0</v>
      </c>
      <c r="Q198" s="45" t="s">
        <v>318</v>
      </c>
      <c r="R198" s="277"/>
    </row>
    <row r="199" spans="1:18" ht="21.75" customHeight="1">
      <c r="A199" s="376" t="s">
        <v>343</v>
      </c>
      <c r="B199" s="586" t="s">
        <v>330</v>
      </c>
      <c r="C199" s="587"/>
      <c r="D199" s="377">
        <f>SUM(D200:D293)</f>
        <v>1924310.4798500002</v>
      </c>
      <c r="E199" s="377">
        <f t="shared" ref="E199:E219" si="11">P199/1000</f>
        <v>1936102.8847900003</v>
      </c>
      <c r="F199" s="378" t="e">
        <f>SUM(F200:F208,F212:F292)</f>
        <v>#VALUE!</v>
      </c>
      <c r="G199" s="379">
        <f>+E199-D199</f>
        <v>11792.404940000037</v>
      </c>
      <c r="H199" s="375">
        <f t="shared" ref="H199:H211" si="12">+G199/D199*100</f>
        <v>0.61281196893545231</v>
      </c>
      <c r="I199" s="327"/>
      <c r="J199" s="209"/>
      <c r="K199" s="137"/>
      <c r="L199" s="468"/>
      <c r="M199" s="468"/>
      <c r="N199" s="468"/>
      <c r="O199" s="468"/>
      <c r="P199" s="209">
        <f>SUM(P200:P293)</f>
        <v>1936102884.7900002</v>
      </c>
      <c r="Q199" s="160" t="s">
        <v>318</v>
      </c>
      <c r="R199" s="277"/>
    </row>
    <row r="200" spans="1:18" ht="17.45" customHeight="1">
      <c r="A200" s="269"/>
      <c r="B200" s="469" t="s">
        <v>343</v>
      </c>
      <c r="C200" s="380" t="s">
        <v>154</v>
      </c>
      <c r="D200" s="381">
        <v>44000</v>
      </c>
      <c r="E200" s="487">
        <f t="shared" si="11"/>
        <v>44000</v>
      </c>
      <c r="F200" s="382"/>
      <c r="G200" s="491">
        <f t="shared" ref="G200:G208" si="13">E200-D200</f>
        <v>0</v>
      </c>
      <c r="H200" s="490">
        <f t="shared" si="12"/>
        <v>0</v>
      </c>
      <c r="I200" s="383" t="s">
        <v>417</v>
      </c>
      <c r="J200" s="123">
        <v>8800000</v>
      </c>
      <c r="K200" s="384" t="s">
        <v>318</v>
      </c>
      <c r="L200" s="385" t="s">
        <v>334</v>
      </c>
      <c r="M200" s="386">
        <v>5</v>
      </c>
      <c r="N200" s="386" t="s">
        <v>332</v>
      </c>
      <c r="O200" s="387" t="s">
        <v>336</v>
      </c>
      <c r="P200" s="123">
        <f>J200*M200</f>
        <v>44000000</v>
      </c>
      <c r="Q200" s="388" t="s">
        <v>318</v>
      </c>
      <c r="R200" s="277" t="s">
        <v>18</v>
      </c>
    </row>
    <row r="201" spans="1:18" ht="17.45" customHeight="1">
      <c r="A201" s="269"/>
      <c r="B201" s="469"/>
      <c r="C201" s="389" t="s">
        <v>64</v>
      </c>
      <c r="D201" s="381">
        <v>40000</v>
      </c>
      <c r="E201" s="487">
        <f t="shared" si="11"/>
        <v>40000</v>
      </c>
      <c r="F201" s="382"/>
      <c r="G201" s="491">
        <f t="shared" si="13"/>
        <v>0</v>
      </c>
      <c r="H201" s="490">
        <f t="shared" si="12"/>
        <v>0</v>
      </c>
      <c r="I201" s="383" t="s">
        <v>85</v>
      </c>
      <c r="J201" s="130">
        <v>10000000</v>
      </c>
      <c r="K201" s="390" t="s">
        <v>318</v>
      </c>
      <c r="L201" s="391" t="s">
        <v>334</v>
      </c>
      <c r="M201" s="392">
        <v>4</v>
      </c>
      <c r="N201" s="392" t="s">
        <v>332</v>
      </c>
      <c r="O201" s="393" t="s">
        <v>336</v>
      </c>
      <c r="P201" s="130">
        <f t="shared" ref="P201:P261" si="14">J201*M201</f>
        <v>40000000</v>
      </c>
      <c r="Q201" s="394" t="s">
        <v>318</v>
      </c>
      <c r="R201" s="277"/>
    </row>
    <row r="202" spans="1:18" ht="17.45" customHeight="1">
      <c r="A202" s="269"/>
      <c r="B202" s="469"/>
      <c r="C202" s="380" t="s">
        <v>216</v>
      </c>
      <c r="D202" s="487">
        <v>59000</v>
      </c>
      <c r="E202" s="487">
        <f t="shared" si="11"/>
        <v>58999.999980000008</v>
      </c>
      <c r="F202" s="382"/>
      <c r="G202" s="491">
        <f t="shared" si="13"/>
        <v>-1.9999992218799889E-5</v>
      </c>
      <c r="H202" s="490">
        <f t="shared" si="12"/>
        <v>-3.3898291896270999E-8</v>
      </c>
      <c r="I202" s="383" t="s">
        <v>417</v>
      </c>
      <c r="J202" s="130">
        <v>9833333.3300000001</v>
      </c>
      <c r="K202" s="390" t="s">
        <v>318</v>
      </c>
      <c r="L202" s="391" t="s">
        <v>334</v>
      </c>
      <c r="M202" s="392">
        <v>6</v>
      </c>
      <c r="N202" s="392" t="s">
        <v>332</v>
      </c>
      <c r="O202" s="393" t="s">
        <v>336</v>
      </c>
      <c r="P202" s="130">
        <f t="shared" si="14"/>
        <v>58999999.980000004</v>
      </c>
      <c r="Q202" s="394" t="s">
        <v>318</v>
      </c>
      <c r="R202" s="277" t="s">
        <v>522</v>
      </c>
    </row>
    <row r="203" spans="1:18" ht="17.45" customHeight="1">
      <c r="A203" s="269"/>
      <c r="B203" s="466"/>
      <c r="C203" s="380" t="s">
        <v>218</v>
      </c>
      <c r="D203" s="381">
        <v>64000</v>
      </c>
      <c r="E203" s="487">
        <f t="shared" si="11"/>
        <v>63999.999960000001</v>
      </c>
      <c r="F203" s="382"/>
      <c r="G203" s="491">
        <f t="shared" si="13"/>
        <v>-3.9999998989515007E-5</v>
      </c>
      <c r="H203" s="490">
        <f t="shared" si="12"/>
        <v>-6.2499998421117203E-8</v>
      </c>
      <c r="I203" s="383" t="s">
        <v>417</v>
      </c>
      <c r="J203" s="130">
        <v>10666666.66</v>
      </c>
      <c r="K203" s="390" t="s">
        <v>318</v>
      </c>
      <c r="L203" s="391" t="s">
        <v>334</v>
      </c>
      <c r="M203" s="392">
        <v>6</v>
      </c>
      <c r="N203" s="392" t="s">
        <v>332</v>
      </c>
      <c r="O203" s="393" t="s">
        <v>336</v>
      </c>
      <c r="P203" s="130">
        <f t="shared" si="14"/>
        <v>63999999.960000001</v>
      </c>
      <c r="Q203" s="394" t="s">
        <v>318</v>
      </c>
      <c r="R203" s="277" t="s">
        <v>16</v>
      </c>
    </row>
    <row r="204" spans="1:18" ht="17.45" customHeight="1">
      <c r="A204" s="269"/>
      <c r="B204" s="466"/>
      <c r="C204" s="380" t="s">
        <v>161</v>
      </c>
      <c r="D204" s="487">
        <v>58000</v>
      </c>
      <c r="E204" s="487">
        <f t="shared" si="11"/>
        <v>58000</v>
      </c>
      <c r="F204" s="382"/>
      <c r="G204" s="491">
        <f t="shared" si="13"/>
        <v>0</v>
      </c>
      <c r="H204" s="490">
        <f t="shared" si="12"/>
        <v>0</v>
      </c>
      <c r="I204" s="383" t="s">
        <v>85</v>
      </c>
      <c r="J204" s="130">
        <v>14500000</v>
      </c>
      <c r="K204" s="390" t="s">
        <v>318</v>
      </c>
      <c r="L204" s="391" t="s">
        <v>334</v>
      </c>
      <c r="M204" s="392">
        <v>4</v>
      </c>
      <c r="N204" s="392" t="s">
        <v>332</v>
      </c>
      <c r="O204" s="393" t="s">
        <v>336</v>
      </c>
      <c r="P204" s="130">
        <f t="shared" si="14"/>
        <v>58000000</v>
      </c>
      <c r="Q204" s="394" t="s">
        <v>318</v>
      </c>
      <c r="R204" s="277"/>
    </row>
    <row r="205" spans="1:18" ht="17.45" customHeight="1">
      <c r="A205" s="101"/>
      <c r="B205" s="469"/>
      <c r="C205" s="395" t="s">
        <v>256</v>
      </c>
      <c r="D205" s="396">
        <v>39000</v>
      </c>
      <c r="E205" s="485">
        <f t="shared" si="11"/>
        <v>39000</v>
      </c>
      <c r="F205" s="397"/>
      <c r="G205" s="484">
        <f t="shared" si="13"/>
        <v>0</v>
      </c>
      <c r="H205" s="483">
        <f t="shared" si="12"/>
        <v>0</v>
      </c>
      <c r="I205" s="383" t="s">
        <v>417</v>
      </c>
      <c r="J205" s="130">
        <v>7800000</v>
      </c>
      <c r="K205" s="390" t="s">
        <v>318</v>
      </c>
      <c r="L205" s="391" t="s">
        <v>334</v>
      </c>
      <c r="M205" s="392">
        <v>5</v>
      </c>
      <c r="N205" s="392" t="s">
        <v>332</v>
      </c>
      <c r="O205" s="393" t="s">
        <v>336</v>
      </c>
      <c r="P205" s="130">
        <f t="shared" si="14"/>
        <v>39000000</v>
      </c>
      <c r="Q205" s="394" t="s">
        <v>318</v>
      </c>
      <c r="R205" s="277" t="s">
        <v>519</v>
      </c>
    </row>
    <row r="206" spans="1:18" ht="17.45" customHeight="1">
      <c r="A206" s="331"/>
      <c r="B206" s="469"/>
      <c r="C206" s="380" t="s">
        <v>193</v>
      </c>
      <c r="D206" s="381">
        <v>48000</v>
      </c>
      <c r="E206" s="487">
        <f t="shared" si="11"/>
        <v>48000</v>
      </c>
      <c r="F206" s="382"/>
      <c r="G206" s="491">
        <f t="shared" si="13"/>
        <v>0</v>
      </c>
      <c r="H206" s="490">
        <f t="shared" si="12"/>
        <v>0</v>
      </c>
      <c r="I206" s="383" t="s">
        <v>417</v>
      </c>
      <c r="J206" s="130">
        <v>9600000</v>
      </c>
      <c r="K206" s="390" t="s">
        <v>318</v>
      </c>
      <c r="L206" s="391" t="s">
        <v>334</v>
      </c>
      <c r="M206" s="392">
        <v>5</v>
      </c>
      <c r="N206" s="392" t="s">
        <v>332</v>
      </c>
      <c r="O206" s="393" t="s">
        <v>336</v>
      </c>
      <c r="P206" s="130">
        <f t="shared" si="14"/>
        <v>48000000</v>
      </c>
      <c r="Q206" s="394" t="s">
        <v>318</v>
      </c>
      <c r="R206" s="277" t="s">
        <v>43</v>
      </c>
    </row>
    <row r="207" spans="1:18" ht="17.45" customHeight="1">
      <c r="A207" s="269"/>
      <c r="B207" s="466"/>
      <c r="C207" s="395" t="s">
        <v>166</v>
      </c>
      <c r="D207" s="396">
        <v>40000</v>
      </c>
      <c r="E207" s="485">
        <f t="shared" si="11"/>
        <v>40000</v>
      </c>
      <c r="F207" s="397"/>
      <c r="G207" s="484">
        <f t="shared" si="13"/>
        <v>0</v>
      </c>
      <c r="H207" s="483">
        <f t="shared" si="12"/>
        <v>0</v>
      </c>
      <c r="I207" s="383" t="s">
        <v>85</v>
      </c>
      <c r="J207" s="130">
        <v>10000000</v>
      </c>
      <c r="K207" s="390" t="s">
        <v>318</v>
      </c>
      <c r="L207" s="391" t="s">
        <v>334</v>
      </c>
      <c r="M207" s="392">
        <v>4</v>
      </c>
      <c r="N207" s="392" t="s">
        <v>332</v>
      </c>
      <c r="O207" s="393" t="s">
        <v>336</v>
      </c>
      <c r="P207" s="130">
        <f t="shared" si="14"/>
        <v>40000000</v>
      </c>
      <c r="Q207" s="394" t="s">
        <v>318</v>
      </c>
      <c r="R207" s="277"/>
    </row>
    <row r="208" spans="1:18" ht="18" customHeight="1">
      <c r="A208" s="269"/>
      <c r="B208" s="466"/>
      <c r="C208" s="380" t="s">
        <v>310</v>
      </c>
      <c r="D208" s="381">
        <v>60000</v>
      </c>
      <c r="E208" s="487">
        <f t="shared" si="11"/>
        <v>60000</v>
      </c>
      <c r="F208" s="382"/>
      <c r="G208" s="491">
        <f t="shared" si="13"/>
        <v>0</v>
      </c>
      <c r="H208" s="490">
        <f t="shared" si="12"/>
        <v>0</v>
      </c>
      <c r="I208" s="383" t="s">
        <v>85</v>
      </c>
      <c r="J208" s="130">
        <v>15000000</v>
      </c>
      <c r="K208" s="390" t="s">
        <v>318</v>
      </c>
      <c r="L208" s="391" t="s">
        <v>334</v>
      </c>
      <c r="M208" s="392">
        <v>4</v>
      </c>
      <c r="N208" s="392" t="s">
        <v>332</v>
      </c>
      <c r="O208" s="393" t="s">
        <v>336</v>
      </c>
      <c r="P208" s="130">
        <f t="shared" si="14"/>
        <v>60000000</v>
      </c>
      <c r="Q208" s="394" t="s">
        <v>318</v>
      </c>
      <c r="R208" s="277"/>
    </row>
    <row r="209" spans="1:19" ht="17.45" customHeight="1">
      <c r="A209" s="269"/>
      <c r="B209" s="466"/>
      <c r="C209" s="389" t="s">
        <v>286</v>
      </c>
      <c r="D209" s="487">
        <v>452429.99998000002</v>
      </c>
      <c r="E209" s="487">
        <f t="shared" si="11"/>
        <v>461369.32500000001</v>
      </c>
      <c r="F209" s="382"/>
      <c r="G209" s="491">
        <f>+E209-D209</f>
        <v>8939.3250199999893</v>
      </c>
      <c r="H209" s="490">
        <f t="shared" si="12"/>
        <v>1.9758470968757949</v>
      </c>
      <c r="I209" s="17" t="s">
        <v>417</v>
      </c>
      <c r="J209" s="40">
        <v>76894887.5</v>
      </c>
      <c r="K209" s="12" t="s">
        <v>318</v>
      </c>
      <c r="L209" s="13" t="s">
        <v>334</v>
      </c>
      <c r="M209" s="14">
        <v>6</v>
      </c>
      <c r="N209" s="14" t="s">
        <v>332</v>
      </c>
      <c r="O209" s="15" t="s">
        <v>336</v>
      </c>
      <c r="P209" s="40">
        <f t="shared" si="14"/>
        <v>461369325</v>
      </c>
      <c r="Q209" s="16" t="s">
        <v>318</v>
      </c>
      <c r="R209" s="277" t="s">
        <v>532</v>
      </c>
      <c r="S209" s="398"/>
    </row>
    <row r="210" spans="1:19" ht="17.45" customHeight="1">
      <c r="A210" s="269"/>
      <c r="B210" s="466"/>
      <c r="C210" s="380" t="s">
        <v>113</v>
      </c>
      <c r="D210" s="381">
        <v>40000</v>
      </c>
      <c r="E210" s="487">
        <f t="shared" si="11"/>
        <v>40000</v>
      </c>
      <c r="F210" s="382"/>
      <c r="G210" s="491">
        <f>E210-D210</f>
        <v>0</v>
      </c>
      <c r="H210" s="490">
        <f t="shared" si="12"/>
        <v>0</v>
      </c>
      <c r="I210" s="383" t="s">
        <v>85</v>
      </c>
      <c r="J210" s="130">
        <v>10000000</v>
      </c>
      <c r="K210" s="390" t="s">
        <v>318</v>
      </c>
      <c r="L210" s="391" t="s">
        <v>334</v>
      </c>
      <c r="M210" s="392">
        <v>4</v>
      </c>
      <c r="N210" s="392" t="s">
        <v>332</v>
      </c>
      <c r="O210" s="393" t="s">
        <v>336</v>
      </c>
      <c r="P210" s="130">
        <f t="shared" si="14"/>
        <v>40000000</v>
      </c>
      <c r="Q210" s="399" t="s">
        <v>318</v>
      </c>
      <c r="R210" s="277"/>
    </row>
    <row r="211" spans="1:19" ht="17.45" customHeight="1">
      <c r="A211" s="331"/>
      <c r="B211" s="469"/>
      <c r="C211" s="400" t="s">
        <v>490</v>
      </c>
      <c r="D211" s="485">
        <v>15000</v>
      </c>
      <c r="E211" s="485">
        <f t="shared" si="11"/>
        <v>15000</v>
      </c>
      <c r="F211" s="397"/>
      <c r="G211" s="484">
        <f>+E211-D211</f>
        <v>0</v>
      </c>
      <c r="H211" s="483">
        <f t="shared" si="12"/>
        <v>0</v>
      </c>
      <c r="I211" s="410" t="s">
        <v>85</v>
      </c>
      <c r="J211" s="129">
        <v>3750000</v>
      </c>
      <c r="K211" s="411" t="s">
        <v>318</v>
      </c>
      <c r="L211" s="412" t="s">
        <v>334</v>
      </c>
      <c r="M211" s="413">
        <v>4</v>
      </c>
      <c r="N211" s="413" t="s">
        <v>332</v>
      </c>
      <c r="O211" s="414" t="s">
        <v>336</v>
      </c>
      <c r="P211" s="129">
        <f t="shared" si="14"/>
        <v>15000000</v>
      </c>
      <c r="Q211" s="399" t="s">
        <v>318</v>
      </c>
      <c r="R211" s="277"/>
      <c r="S211" s="398"/>
    </row>
    <row r="212" spans="1:19" ht="17.45" customHeight="1">
      <c r="A212" s="331" t="s">
        <v>343</v>
      </c>
      <c r="B212" s="469" t="s">
        <v>343</v>
      </c>
      <c r="C212" s="400" t="s">
        <v>486</v>
      </c>
      <c r="D212" s="485">
        <v>28000</v>
      </c>
      <c r="E212" s="485">
        <f t="shared" si="11"/>
        <v>28000</v>
      </c>
      <c r="F212" s="397"/>
      <c r="G212" s="484">
        <f>E212-D212</f>
        <v>0</v>
      </c>
      <c r="H212" s="483">
        <f>+G212/D212*100</f>
        <v>0</v>
      </c>
      <c r="I212" s="383" t="s">
        <v>85</v>
      </c>
      <c r="J212" s="130">
        <v>7000000</v>
      </c>
      <c r="K212" s="390" t="s">
        <v>318</v>
      </c>
      <c r="L212" s="391" t="s">
        <v>334</v>
      </c>
      <c r="M212" s="392">
        <v>4</v>
      </c>
      <c r="N212" s="392" t="s">
        <v>332</v>
      </c>
      <c r="O212" s="393" t="s">
        <v>336</v>
      </c>
      <c r="P212" s="130">
        <f t="shared" si="14"/>
        <v>28000000</v>
      </c>
      <c r="Q212" s="394" t="s">
        <v>318</v>
      </c>
      <c r="R212" s="277"/>
    </row>
    <row r="213" spans="1:19" ht="17.45" customHeight="1">
      <c r="A213" s="269"/>
      <c r="B213" s="466"/>
      <c r="C213" s="389" t="s">
        <v>481</v>
      </c>
      <c r="D213" s="487">
        <v>2000</v>
      </c>
      <c r="E213" s="487">
        <f t="shared" si="11"/>
        <v>2000</v>
      </c>
      <c r="F213" s="382"/>
      <c r="G213" s="491">
        <f>E213-D213</f>
        <v>0</v>
      </c>
      <c r="H213" s="490">
        <f>+G213/D213*100</f>
        <v>0</v>
      </c>
      <c r="I213" s="383" t="s">
        <v>85</v>
      </c>
      <c r="J213" s="130">
        <v>500000</v>
      </c>
      <c r="K213" s="390" t="s">
        <v>318</v>
      </c>
      <c r="L213" s="391" t="s">
        <v>334</v>
      </c>
      <c r="M213" s="392">
        <v>4</v>
      </c>
      <c r="N213" s="392" t="s">
        <v>332</v>
      </c>
      <c r="O213" s="393" t="s">
        <v>336</v>
      </c>
      <c r="P213" s="130">
        <f t="shared" si="14"/>
        <v>2000000</v>
      </c>
      <c r="Q213" s="394" t="s">
        <v>318</v>
      </c>
      <c r="R213" s="277"/>
    </row>
    <row r="214" spans="1:19" ht="17.45" customHeight="1">
      <c r="A214" s="269"/>
      <c r="B214" s="466"/>
      <c r="C214" s="380" t="s">
        <v>176</v>
      </c>
      <c r="D214" s="487">
        <v>22260.16</v>
      </c>
      <c r="E214" s="487">
        <f t="shared" si="11"/>
        <v>22260.16</v>
      </c>
      <c r="F214" s="382"/>
      <c r="G214" s="491">
        <f t="shared" ref="G214:G219" si="15">+E214-D214</f>
        <v>0</v>
      </c>
      <c r="H214" s="490">
        <f>+G214/D214*100</f>
        <v>0</v>
      </c>
      <c r="I214" s="401" t="s">
        <v>428</v>
      </c>
      <c r="J214" s="130">
        <v>4452032</v>
      </c>
      <c r="K214" s="390" t="s">
        <v>318</v>
      </c>
      <c r="L214" s="391" t="s">
        <v>334</v>
      </c>
      <c r="M214" s="392">
        <v>5</v>
      </c>
      <c r="N214" s="392" t="s">
        <v>332</v>
      </c>
      <c r="O214" s="393" t="s">
        <v>336</v>
      </c>
      <c r="P214" s="130">
        <f t="shared" si="14"/>
        <v>22260160</v>
      </c>
      <c r="Q214" s="394" t="s">
        <v>318</v>
      </c>
      <c r="R214" s="343" t="s">
        <v>421</v>
      </c>
      <c r="S214" s="398"/>
    </row>
    <row r="215" spans="1:19" ht="17.45" customHeight="1">
      <c r="A215" s="269"/>
      <c r="B215" s="466"/>
      <c r="C215" s="402" t="s">
        <v>235</v>
      </c>
      <c r="D215" s="470">
        <v>1800</v>
      </c>
      <c r="E215" s="487">
        <f t="shared" si="11"/>
        <v>1800</v>
      </c>
      <c r="F215" s="403"/>
      <c r="G215" s="491">
        <f t="shared" si="15"/>
        <v>0</v>
      </c>
      <c r="H215" s="490">
        <f>+G215/D215*100</f>
        <v>0</v>
      </c>
      <c r="I215" s="383" t="s">
        <v>85</v>
      </c>
      <c r="J215" s="130">
        <v>1800000</v>
      </c>
      <c r="K215" s="390" t="s">
        <v>318</v>
      </c>
      <c r="L215" s="391" t="s">
        <v>334</v>
      </c>
      <c r="M215" s="392">
        <v>1</v>
      </c>
      <c r="N215" s="392" t="s">
        <v>332</v>
      </c>
      <c r="O215" s="393" t="s">
        <v>336</v>
      </c>
      <c r="P215" s="130">
        <f t="shared" si="14"/>
        <v>1800000</v>
      </c>
      <c r="Q215" s="394" t="s">
        <v>318</v>
      </c>
      <c r="R215" s="277"/>
      <c r="S215" s="398"/>
    </row>
    <row r="216" spans="1:19" ht="17.45" customHeight="1">
      <c r="A216" s="269"/>
      <c r="B216" s="466"/>
      <c r="C216" s="402" t="s">
        <v>185</v>
      </c>
      <c r="D216" s="470">
        <v>2400</v>
      </c>
      <c r="E216" s="487">
        <f t="shared" si="11"/>
        <v>2400</v>
      </c>
      <c r="F216" s="403"/>
      <c r="G216" s="491">
        <f t="shared" si="15"/>
        <v>0</v>
      </c>
      <c r="H216" s="490">
        <f>+G216/D216*100</f>
        <v>0</v>
      </c>
      <c r="I216" s="383" t="s">
        <v>85</v>
      </c>
      <c r="J216" s="130">
        <v>2400000</v>
      </c>
      <c r="K216" s="390" t="s">
        <v>318</v>
      </c>
      <c r="L216" s="391" t="s">
        <v>334</v>
      </c>
      <c r="M216" s="392">
        <v>1</v>
      </c>
      <c r="N216" s="392" t="s">
        <v>332</v>
      </c>
      <c r="O216" s="393" t="s">
        <v>336</v>
      </c>
      <c r="P216" s="130">
        <f t="shared" si="14"/>
        <v>2400000</v>
      </c>
      <c r="Q216" s="394" t="s">
        <v>318</v>
      </c>
      <c r="R216" s="277"/>
      <c r="S216" s="398"/>
    </row>
    <row r="217" spans="1:19" ht="17.45" customHeight="1">
      <c r="A217" s="269"/>
      <c r="B217" s="466"/>
      <c r="C217" s="380" t="s">
        <v>186</v>
      </c>
      <c r="D217" s="487">
        <v>3000</v>
      </c>
      <c r="E217" s="487">
        <f t="shared" si="11"/>
        <v>3000</v>
      </c>
      <c r="F217" s="382"/>
      <c r="G217" s="491">
        <f t="shared" si="15"/>
        <v>0</v>
      </c>
      <c r="H217" s="490">
        <f>G217/D217*100</f>
        <v>0</v>
      </c>
      <c r="I217" s="383" t="s">
        <v>85</v>
      </c>
      <c r="J217" s="130">
        <v>3000000</v>
      </c>
      <c r="K217" s="390" t="s">
        <v>318</v>
      </c>
      <c r="L217" s="391" t="s">
        <v>334</v>
      </c>
      <c r="M217" s="392">
        <v>1</v>
      </c>
      <c r="N217" s="392" t="s">
        <v>332</v>
      </c>
      <c r="O217" s="393" t="s">
        <v>336</v>
      </c>
      <c r="P217" s="130">
        <f t="shared" si="14"/>
        <v>3000000</v>
      </c>
      <c r="Q217" s="394" t="s">
        <v>318</v>
      </c>
      <c r="R217" s="277"/>
      <c r="S217" s="398"/>
    </row>
    <row r="218" spans="1:19" ht="17.45" customHeight="1">
      <c r="A218" s="331"/>
      <c r="B218" s="469"/>
      <c r="C218" s="404" t="s">
        <v>247</v>
      </c>
      <c r="D218" s="471">
        <v>1200</v>
      </c>
      <c r="E218" s="485">
        <f t="shared" si="11"/>
        <v>1200</v>
      </c>
      <c r="F218" s="471" t="e">
        <f>Q218/1000</f>
        <v>#VALUE!</v>
      </c>
      <c r="G218" s="484">
        <f t="shared" si="15"/>
        <v>0</v>
      </c>
      <c r="H218" s="483">
        <f>G218/D218*100</f>
        <v>0</v>
      </c>
      <c r="I218" s="383" t="s">
        <v>85</v>
      </c>
      <c r="J218" s="130">
        <v>1200000</v>
      </c>
      <c r="K218" s="390" t="s">
        <v>318</v>
      </c>
      <c r="L218" s="391" t="s">
        <v>334</v>
      </c>
      <c r="M218" s="392">
        <v>1</v>
      </c>
      <c r="N218" s="392" t="s">
        <v>332</v>
      </c>
      <c r="O218" s="393" t="s">
        <v>336</v>
      </c>
      <c r="P218" s="130">
        <f t="shared" si="14"/>
        <v>1200000</v>
      </c>
      <c r="Q218" s="394" t="s">
        <v>318</v>
      </c>
      <c r="R218" s="277"/>
      <c r="S218" s="398"/>
    </row>
    <row r="219" spans="1:19" ht="17.45" customHeight="1">
      <c r="A219" s="269"/>
      <c r="B219" s="466"/>
      <c r="C219" s="402" t="s">
        <v>173</v>
      </c>
      <c r="D219" s="470">
        <v>2700</v>
      </c>
      <c r="E219" s="487">
        <f t="shared" si="11"/>
        <v>2700</v>
      </c>
      <c r="F219" s="470"/>
      <c r="G219" s="491">
        <f t="shared" si="15"/>
        <v>0</v>
      </c>
      <c r="H219" s="490">
        <f>G219/D219*100</f>
        <v>0</v>
      </c>
      <c r="I219" s="383" t="s">
        <v>85</v>
      </c>
      <c r="J219" s="130">
        <v>2700000</v>
      </c>
      <c r="K219" s="390" t="s">
        <v>318</v>
      </c>
      <c r="L219" s="391" t="s">
        <v>334</v>
      </c>
      <c r="M219" s="392">
        <v>1</v>
      </c>
      <c r="N219" s="392" t="s">
        <v>332</v>
      </c>
      <c r="O219" s="393" t="s">
        <v>336</v>
      </c>
      <c r="P219" s="130">
        <f t="shared" si="14"/>
        <v>2700000</v>
      </c>
      <c r="Q219" s="394" t="s">
        <v>318</v>
      </c>
      <c r="R219" s="277"/>
      <c r="S219" s="398"/>
    </row>
    <row r="220" spans="1:19" ht="17.45" customHeight="1">
      <c r="A220" s="369"/>
      <c r="B220" s="370"/>
      <c r="C220" s="389" t="s">
        <v>57</v>
      </c>
      <c r="D220" s="470">
        <v>2700</v>
      </c>
      <c r="E220" s="487">
        <f t="shared" ref="E220:E227" si="16">P220/1000</f>
        <v>2700</v>
      </c>
      <c r="F220" s="382"/>
      <c r="G220" s="491">
        <f t="shared" ref="G220:G227" si="17">+E220-D220</f>
        <v>0</v>
      </c>
      <c r="H220" s="490">
        <f>G220/D220*100</f>
        <v>0</v>
      </c>
      <c r="I220" s="383" t="s">
        <v>85</v>
      </c>
      <c r="J220" s="130">
        <v>2700000</v>
      </c>
      <c r="K220" s="390" t="s">
        <v>318</v>
      </c>
      <c r="L220" s="391" t="s">
        <v>334</v>
      </c>
      <c r="M220" s="392">
        <v>1</v>
      </c>
      <c r="N220" s="392" t="s">
        <v>332</v>
      </c>
      <c r="O220" s="393" t="s">
        <v>336</v>
      </c>
      <c r="P220" s="130">
        <f t="shared" si="14"/>
        <v>2700000</v>
      </c>
      <c r="Q220" s="394" t="s">
        <v>318</v>
      </c>
      <c r="R220" s="277"/>
      <c r="S220" s="398"/>
    </row>
    <row r="221" spans="1:19" ht="17.45" customHeight="1">
      <c r="A221" s="269"/>
      <c r="B221" s="466"/>
      <c r="C221" s="404" t="s">
        <v>239</v>
      </c>
      <c r="D221" s="470">
        <v>2100</v>
      </c>
      <c r="E221" s="485">
        <f t="shared" si="16"/>
        <v>2100</v>
      </c>
      <c r="F221" s="405"/>
      <c r="G221" s="484">
        <f t="shared" si="17"/>
        <v>0</v>
      </c>
      <c r="H221" s="483">
        <f>+G221/D221*100</f>
        <v>0</v>
      </c>
      <c r="I221" s="383" t="s">
        <v>85</v>
      </c>
      <c r="J221" s="130">
        <v>2100000</v>
      </c>
      <c r="K221" s="390" t="s">
        <v>318</v>
      </c>
      <c r="L221" s="391" t="s">
        <v>334</v>
      </c>
      <c r="M221" s="392">
        <v>1</v>
      </c>
      <c r="N221" s="392" t="s">
        <v>332</v>
      </c>
      <c r="O221" s="393" t="s">
        <v>336</v>
      </c>
      <c r="P221" s="130">
        <f t="shared" si="14"/>
        <v>2100000</v>
      </c>
      <c r="Q221" s="394" t="s">
        <v>318</v>
      </c>
      <c r="R221" s="277"/>
      <c r="S221" s="398"/>
    </row>
    <row r="222" spans="1:19" ht="17.45" customHeight="1">
      <c r="A222" s="269"/>
      <c r="B222" s="466"/>
      <c r="C222" s="406" t="s">
        <v>53</v>
      </c>
      <c r="D222" s="470">
        <v>3000</v>
      </c>
      <c r="E222" s="487">
        <f t="shared" si="16"/>
        <v>3000</v>
      </c>
      <c r="F222" s="403"/>
      <c r="G222" s="491">
        <f t="shared" si="17"/>
        <v>0</v>
      </c>
      <c r="H222" s="483">
        <f>+G222/D222*100</f>
        <v>0</v>
      </c>
      <c r="I222" s="383" t="s">
        <v>85</v>
      </c>
      <c r="J222" s="130">
        <v>3000000</v>
      </c>
      <c r="K222" s="390" t="s">
        <v>318</v>
      </c>
      <c r="L222" s="391" t="s">
        <v>334</v>
      </c>
      <c r="M222" s="392">
        <v>1</v>
      </c>
      <c r="N222" s="392" t="s">
        <v>332</v>
      </c>
      <c r="O222" s="393" t="s">
        <v>336</v>
      </c>
      <c r="P222" s="130">
        <f t="shared" si="14"/>
        <v>3000000</v>
      </c>
      <c r="Q222" s="394" t="s">
        <v>318</v>
      </c>
      <c r="R222" s="277"/>
      <c r="S222" s="398"/>
    </row>
    <row r="223" spans="1:19" ht="17.45" customHeight="1">
      <c r="A223" s="269"/>
      <c r="B223" s="466"/>
      <c r="C223" s="402" t="s">
        <v>152</v>
      </c>
      <c r="D223" s="470">
        <v>3000</v>
      </c>
      <c r="E223" s="487">
        <f t="shared" si="16"/>
        <v>3000</v>
      </c>
      <c r="F223" s="382"/>
      <c r="G223" s="491">
        <f t="shared" si="17"/>
        <v>0</v>
      </c>
      <c r="H223" s="483">
        <f>+G223/D223*100</f>
        <v>0</v>
      </c>
      <c r="I223" s="383" t="s">
        <v>85</v>
      </c>
      <c r="J223" s="130">
        <v>3000000</v>
      </c>
      <c r="K223" s="390" t="s">
        <v>318</v>
      </c>
      <c r="L223" s="391" t="s">
        <v>334</v>
      </c>
      <c r="M223" s="392">
        <v>1</v>
      </c>
      <c r="N223" s="392" t="s">
        <v>332</v>
      </c>
      <c r="O223" s="393" t="s">
        <v>336</v>
      </c>
      <c r="P223" s="130">
        <f t="shared" si="14"/>
        <v>3000000</v>
      </c>
      <c r="Q223" s="394" t="s">
        <v>318</v>
      </c>
      <c r="R223" s="277"/>
      <c r="S223" s="398"/>
    </row>
    <row r="224" spans="1:19" ht="17.45" customHeight="1">
      <c r="A224" s="269"/>
      <c r="B224" s="466"/>
      <c r="C224" s="402" t="s">
        <v>163</v>
      </c>
      <c r="D224" s="470">
        <v>1800</v>
      </c>
      <c r="E224" s="487">
        <f t="shared" si="16"/>
        <v>1800</v>
      </c>
      <c r="F224" s="403"/>
      <c r="G224" s="491">
        <f t="shared" si="17"/>
        <v>0</v>
      </c>
      <c r="H224" s="483">
        <f>+G224/D224*100</f>
        <v>0</v>
      </c>
      <c r="I224" s="383" t="s">
        <v>85</v>
      </c>
      <c r="J224" s="130">
        <v>1800000</v>
      </c>
      <c r="K224" s="390" t="s">
        <v>318</v>
      </c>
      <c r="L224" s="391" t="s">
        <v>334</v>
      </c>
      <c r="M224" s="392">
        <v>1</v>
      </c>
      <c r="N224" s="392" t="s">
        <v>332</v>
      </c>
      <c r="O224" s="393" t="s">
        <v>336</v>
      </c>
      <c r="P224" s="130">
        <f t="shared" si="14"/>
        <v>1800000</v>
      </c>
      <c r="Q224" s="394" t="s">
        <v>318</v>
      </c>
      <c r="R224" s="277"/>
      <c r="S224" s="398"/>
    </row>
    <row r="225" spans="1:19" ht="17.45" customHeight="1">
      <c r="A225" s="269"/>
      <c r="B225" s="466"/>
      <c r="C225" s="402" t="s">
        <v>233</v>
      </c>
      <c r="D225" s="470">
        <v>7700</v>
      </c>
      <c r="E225" s="487">
        <f t="shared" si="16"/>
        <v>7700</v>
      </c>
      <c r="F225" s="403"/>
      <c r="G225" s="491">
        <f t="shared" si="17"/>
        <v>0</v>
      </c>
      <c r="H225" s="490">
        <f>G225/D225*100</f>
        <v>0</v>
      </c>
      <c r="I225" s="383" t="s">
        <v>417</v>
      </c>
      <c r="J225" s="130">
        <v>3850000</v>
      </c>
      <c r="K225" s="390" t="s">
        <v>318</v>
      </c>
      <c r="L225" s="391" t="s">
        <v>334</v>
      </c>
      <c r="M225" s="392">
        <v>2</v>
      </c>
      <c r="N225" s="392" t="s">
        <v>332</v>
      </c>
      <c r="O225" s="393" t="s">
        <v>336</v>
      </c>
      <c r="P225" s="130">
        <f t="shared" si="14"/>
        <v>7700000</v>
      </c>
      <c r="Q225" s="394" t="s">
        <v>318</v>
      </c>
      <c r="R225" s="277" t="s">
        <v>38</v>
      </c>
      <c r="S225" s="398"/>
    </row>
    <row r="226" spans="1:19" ht="17.45" customHeight="1">
      <c r="A226" s="269"/>
      <c r="B226" s="466"/>
      <c r="C226" s="380" t="s">
        <v>260</v>
      </c>
      <c r="D226" s="470">
        <v>3543.01</v>
      </c>
      <c r="E226" s="487">
        <f t="shared" si="16"/>
        <v>3543.01</v>
      </c>
      <c r="F226" s="382"/>
      <c r="G226" s="491">
        <f t="shared" si="17"/>
        <v>0</v>
      </c>
      <c r="H226" s="490">
        <f>G226/D226*100</f>
        <v>0</v>
      </c>
      <c r="I226" s="401" t="s">
        <v>428</v>
      </c>
      <c r="J226" s="130">
        <v>1771505</v>
      </c>
      <c r="K226" s="390" t="s">
        <v>318</v>
      </c>
      <c r="L226" s="391" t="s">
        <v>334</v>
      </c>
      <c r="M226" s="392">
        <v>2</v>
      </c>
      <c r="N226" s="392" t="s">
        <v>332</v>
      </c>
      <c r="O226" s="393" t="s">
        <v>336</v>
      </c>
      <c r="P226" s="130">
        <f t="shared" si="14"/>
        <v>3543010</v>
      </c>
      <c r="Q226" s="394" t="s">
        <v>318</v>
      </c>
      <c r="R226" s="343" t="s">
        <v>420</v>
      </c>
      <c r="S226" s="398"/>
    </row>
    <row r="227" spans="1:19" ht="17.45" customHeight="1">
      <c r="A227" s="269"/>
      <c r="B227" s="466"/>
      <c r="C227" s="400" t="s">
        <v>63</v>
      </c>
      <c r="D227" s="470">
        <v>3600</v>
      </c>
      <c r="E227" s="487">
        <f t="shared" si="16"/>
        <v>3600</v>
      </c>
      <c r="F227" s="397"/>
      <c r="G227" s="491">
        <f t="shared" si="17"/>
        <v>0</v>
      </c>
      <c r="H227" s="490">
        <f>G227/D227*100</f>
        <v>0</v>
      </c>
      <c r="I227" s="383" t="s">
        <v>85</v>
      </c>
      <c r="J227" s="130">
        <v>3600000</v>
      </c>
      <c r="K227" s="390" t="s">
        <v>318</v>
      </c>
      <c r="L227" s="391" t="s">
        <v>334</v>
      </c>
      <c r="M227" s="392">
        <v>1</v>
      </c>
      <c r="N227" s="392" t="s">
        <v>332</v>
      </c>
      <c r="O227" s="393" t="s">
        <v>336</v>
      </c>
      <c r="P227" s="130">
        <f t="shared" si="14"/>
        <v>3600000</v>
      </c>
      <c r="Q227" s="394" t="s">
        <v>318</v>
      </c>
      <c r="R227" s="277"/>
      <c r="S227" s="398"/>
    </row>
    <row r="228" spans="1:19" ht="17.45" customHeight="1">
      <c r="A228" s="269"/>
      <c r="B228" s="466"/>
      <c r="C228" s="389" t="s">
        <v>49</v>
      </c>
      <c r="D228" s="487">
        <v>5000</v>
      </c>
      <c r="E228" s="487">
        <f t="shared" ref="E228:E241" si="18">P228/1000</f>
        <v>5000</v>
      </c>
      <c r="F228" s="382"/>
      <c r="G228" s="491">
        <f t="shared" ref="G228:G243" si="19">+E228-D228</f>
        <v>0</v>
      </c>
      <c r="H228" s="490">
        <f t="shared" ref="H228:H241" si="20">+G228/D228*100</f>
        <v>0</v>
      </c>
      <c r="I228" s="383" t="s">
        <v>85</v>
      </c>
      <c r="J228" s="130">
        <v>5000000</v>
      </c>
      <c r="K228" s="390" t="s">
        <v>318</v>
      </c>
      <c r="L228" s="391" t="s">
        <v>334</v>
      </c>
      <c r="M228" s="392">
        <v>1</v>
      </c>
      <c r="N228" s="392" t="s">
        <v>332</v>
      </c>
      <c r="O228" s="393" t="s">
        <v>336</v>
      </c>
      <c r="P228" s="130">
        <f t="shared" si="14"/>
        <v>5000000</v>
      </c>
      <c r="Q228" s="394" t="s">
        <v>318</v>
      </c>
      <c r="R228" s="277"/>
    </row>
    <row r="229" spans="1:19" ht="17.45" customHeight="1">
      <c r="A229" s="269"/>
      <c r="B229" s="466"/>
      <c r="C229" s="380" t="s">
        <v>111</v>
      </c>
      <c r="D229" s="487">
        <v>5000</v>
      </c>
      <c r="E229" s="487">
        <f t="shared" si="18"/>
        <v>5000</v>
      </c>
      <c r="F229" s="382"/>
      <c r="G229" s="491">
        <f t="shared" si="19"/>
        <v>0</v>
      </c>
      <c r="H229" s="490">
        <f t="shared" si="20"/>
        <v>0</v>
      </c>
      <c r="I229" s="383" t="s">
        <v>85</v>
      </c>
      <c r="J229" s="130">
        <v>5000000</v>
      </c>
      <c r="K229" s="390" t="s">
        <v>318</v>
      </c>
      <c r="L229" s="391" t="s">
        <v>334</v>
      </c>
      <c r="M229" s="392">
        <v>1</v>
      </c>
      <c r="N229" s="392" t="s">
        <v>332</v>
      </c>
      <c r="O229" s="393" t="s">
        <v>336</v>
      </c>
      <c r="P229" s="130">
        <f t="shared" si="14"/>
        <v>5000000</v>
      </c>
      <c r="Q229" s="394" t="s">
        <v>318</v>
      </c>
      <c r="R229" s="277"/>
      <c r="S229" s="407"/>
    </row>
    <row r="230" spans="1:19" ht="17.45" customHeight="1">
      <c r="A230" s="269"/>
      <c r="B230" s="466"/>
      <c r="C230" s="389" t="s">
        <v>308</v>
      </c>
      <c r="D230" s="487">
        <v>5000</v>
      </c>
      <c r="E230" s="487">
        <f t="shared" si="18"/>
        <v>5000</v>
      </c>
      <c r="F230" s="382"/>
      <c r="G230" s="491">
        <f t="shared" si="19"/>
        <v>0</v>
      </c>
      <c r="H230" s="490">
        <f t="shared" si="20"/>
        <v>0</v>
      </c>
      <c r="I230" s="383" t="s">
        <v>85</v>
      </c>
      <c r="J230" s="130">
        <v>5000000</v>
      </c>
      <c r="K230" s="390" t="s">
        <v>318</v>
      </c>
      <c r="L230" s="391" t="s">
        <v>334</v>
      </c>
      <c r="M230" s="392">
        <v>1</v>
      </c>
      <c r="N230" s="392" t="s">
        <v>332</v>
      </c>
      <c r="O230" s="393" t="s">
        <v>336</v>
      </c>
      <c r="P230" s="130">
        <f t="shared" si="14"/>
        <v>5000000</v>
      </c>
      <c r="Q230" s="394" t="s">
        <v>318</v>
      </c>
      <c r="R230" s="277" t="s">
        <v>464</v>
      </c>
      <c r="S230" s="407"/>
    </row>
    <row r="231" spans="1:19" ht="17.45" customHeight="1">
      <c r="A231" s="269"/>
      <c r="B231" s="466"/>
      <c r="C231" s="380" t="s">
        <v>170</v>
      </c>
      <c r="D231" s="487">
        <v>5000</v>
      </c>
      <c r="E231" s="487">
        <f t="shared" si="18"/>
        <v>5000</v>
      </c>
      <c r="F231" s="382"/>
      <c r="G231" s="491">
        <f t="shared" si="19"/>
        <v>0</v>
      </c>
      <c r="H231" s="490">
        <f t="shared" si="20"/>
        <v>0</v>
      </c>
      <c r="I231" s="383" t="s">
        <v>85</v>
      </c>
      <c r="J231" s="130">
        <v>5000000</v>
      </c>
      <c r="K231" s="390" t="s">
        <v>318</v>
      </c>
      <c r="L231" s="391" t="s">
        <v>334</v>
      </c>
      <c r="M231" s="392">
        <v>1</v>
      </c>
      <c r="N231" s="392" t="s">
        <v>332</v>
      </c>
      <c r="O231" s="393" t="s">
        <v>336</v>
      </c>
      <c r="P231" s="130">
        <f t="shared" si="14"/>
        <v>5000000</v>
      </c>
      <c r="Q231" s="394" t="s">
        <v>318</v>
      </c>
      <c r="R231" s="277"/>
      <c r="S231" s="407"/>
    </row>
    <row r="232" spans="1:19" ht="17.45" customHeight="1">
      <c r="A232" s="269"/>
      <c r="B232" s="466"/>
      <c r="C232" s="380" t="s">
        <v>199</v>
      </c>
      <c r="D232" s="487">
        <v>2400</v>
      </c>
      <c r="E232" s="487">
        <f t="shared" si="18"/>
        <v>2400</v>
      </c>
      <c r="F232" s="382"/>
      <c r="G232" s="491">
        <f t="shared" si="19"/>
        <v>0</v>
      </c>
      <c r="H232" s="490">
        <f t="shared" si="20"/>
        <v>0</v>
      </c>
      <c r="I232" s="383" t="s">
        <v>85</v>
      </c>
      <c r="J232" s="130">
        <v>2400000</v>
      </c>
      <c r="K232" s="390" t="s">
        <v>318</v>
      </c>
      <c r="L232" s="391" t="s">
        <v>334</v>
      </c>
      <c r="M232" s="392">
        <v>1</v>
      </c>
      <c r="N232" s="392" t="s">
        <v>332</v>
      </c>
      <c r="O232" s="393" t="s">
        <v>336</v>
      </c>
      <c r="P232" s="130">
        <f t="shared" si="14"/>
        <v>2400000</v>
      </c>
      <c r="Q232" s="394" t="s">
        <v>318</v>
      </c>
      <c r="R232" s="277"/>
      <c r="S232" s="407"/>
    </row>
    <row r="233" spans="1:19" ht="17.45" customHeight="1">
      <c r="A233" s="269"/>
      <c r="B233" s="466"/>
      <c r="C233" s="408" t="s">
        <v>291</v>
      </c>
      <c r="D233" s="487">
        <v>78000</v>
      </c>
      <c r="E233" s="487">
        <f t="shared" si="18"/>
        <v>78000</v>
      </c>
      <c r="F233" s="382"/>
      <c r="G233" s="491">
        <f t="shared" si="19"/>
        <v>0</v>
      </c>
      <c r="H233" s="490">
        <f t="shared" si="20"/>
        <v>0</v>
      </c>
      <c r="I233" s="383" t="s">
        <v>85</v>
      </c>
      <c r="J233" s="130">
        <v>6500000</v>
      </c>
      <c r="K233" s="390" t="s">
        <v>318</v>
      </c>
      <c r="L233" s="391" t="s">
        <v>334</v>
      </c>
      <c r="M233" s="392">
        <v>12</v>
      </c>
      <c r="N233" s="392" t="s">
        <v>332</v>
      </c>
      <c r="O233" s="393" t="s">
        <v>336</v>
      </c>
      <c r="P233" s="130">
        <f t="shared" si="14"/>
        <v>78000000</v>
      </c>
      <c r="Q233" s="394" t="s">
        <v>318</v>
      </c>
      <c r="R233" s="277"/>
      <c r="S233" s="407"/>
    </row>
    <row r="234" spans="1:19" ht="17.45" customHeight="1">
      <c r="A234" s="331"/>
      <c r="B234" s="469"/>
      <c r="C234" s="395" t="s">
        <v>121</v>
      </c>
      <c r="D234" s="485">
        <v>3300</v>
      </c>
      <c r="E234" s="485">
        <f t="shared" si="18"/>
        <v>3300</v>
      </c>
      <c r="F234" s="397"/>
      <c r="G234" s="484">
        <f t="shared" si="19"/>
        <v>0</v>
      </c>
      <c r="H234" s="483">
        <f t="shared" si="20"/>
        <v>0</v>
      </c>
      <c r="I234" s="383" t="s">
        <v>85</v>
      </c>
      <c r="J234" s="130">
        <v>3300000</v>
      </c>
      <c r="K234" s="390" t="s">
        <v>318</v>
      </c>
      <c r="L234" s="391" t="s">
        <v>334</v>
      </c>
      <c r="M234" s="392">
        <v>1</v>
      </c>
      <c r="N234" s="392" t="s">
        <v>332</v>
      </c>
      <c r="O234" s="393" t="s">
        <v>336</v>
      </c>
      <c r="P234" s="130">
        <f t="shared" si="14"/>
        <v>3300000</v>
      </c>
      <c r="Q234" s="394" t="s">
        <v>318</v>
      </c>
      <c r="R234" s="277"/>
      <c r="S234" s="407"/>
    </row>
    <row r="235" spans="1:19" ht="17.45" customHeight="1">
      <c r="A235" s="331"/>
      <c r="B235" s="469"/>
      <c r="C235" s="409" t="s">
        <v>309</v>
      </c>
      <c r="D235" s="485">
        <v>3000</v>
      </c>
      <c r="E235" s="485">
        <f t="shared" si="18"/>
        <v>3000</v>
      </c>
      <c r="F235" s="397"/>
      <c r="G235" s="484">
        <f t="shared" si="19"/>
        <v>0</v>
      </c>
      <c r="H235" s="483">
        <f t="shared" si="20"/>
        <v>0</v>
      </c>
      <c r="I235" s="383" t="s">
        <v>85</v>
      </c>
      <c r="J235" s="130">
        <v>3000000</v>
      </c>
      <c r="K235" s="390" t="s">
        <v>318</v>
      </c>
      <c r="L235" s="391" t="s">
        <v>334</v>
      </c>
      <c r="M235" s="392">
        <v>1</v>
      </c>
      <c r="N235" s="392" t="s">
        <v>332</v>
      </c>
      <c r="O235" s="393" t="s">
        <v>336</v>
      </c>
      <c r="P235" s="130">
        <f t="shared" si="14"/>
        <v>3000000</v>
      </c>
      <c r="Q235" s="394" t="s">
        <v>318</v>
      </c>
      <c r="R235" s="277"/>
    </row>
    <row r="236" spans="1:19" ht="17.45" customHeight="1">
      <c r="A236" s="269"/>
      <c r="B236" s="466"/>
      <c r="C236" s="389" t="s">
        <v>548</v>
      </c>
      <c r="D236" s="487">
        <v>3000</v>
      </c>
      <c r="E236" s="487">
        <f t="shared" si="18"/>
        <v>3000</v>
      </c>
      <c r="F236" s="382"/>
      <c r="G236" s="491">
        <f t="shared" si="19"/>
        <v>0</v>
      </c>
      <c r="H236" s="490">
        <f t="shared" si="20"/>
        <v>0</v>
      </c>
      <c r="I236" s="383" t="s">
        <v>85</v>
      </c>
      <c r="J236" s="130">
        <v>3000000</v>
      </c>
      <c r="K236" s="390" t="s">
        <v>318</v>
      </c>
      <c r="L236" s="391" t="s">
        <v>334</v>
      </c>
      <c r="M236" s="392">
        <v>1</v>
      </c>
      <c r="N236" s="392" t="s">
        <v>332</v>
      </c>
      <c r="O236" s="393" t="s">
        <v>336</v>
      </c>
      <c r="P236" s="130">
        <f t="shared" si="14"/>
        <v>3000000</v>
      </c>
      <c r="Q236" s="394" t="s">
        <v>318</v>
      </c>
      <c r="R236" s="277"/>
    </row>
    <row r="237" spans="1:19" ht="17.45" customHeight="1">
      <c r="A237" s="331"/>
      <c r="B237" s="469"/>
      <c r="C237" s="395" t="s">
        <v>145</v>
      </c>
      <c r="D237" s="485">
        <v>3600</v>
      </c>
      <c r="E237" s="485">
        <f t="shared" si="18"/>
        <v>3600</v>
      </c>
      <c r="F237" s="397"/>
      <c r="G237" s="484">
        <f t="shared" si="19"/>
        <v>0</v>
      </c>
      <c r="H237" s="483">
        <f t="shared" si="20"/>
        <v>0</v>
      </c>
      <c r="I237" s="383" t="s">
        <v>85</v>
      </c>
      <c r="J237" s="130">
        <v>3600000</v>
      </c>
      <c r="K237" s="390" t="s">
        <v>318</v>
      </c>
      <c r="L237" s="391" t="s">
        <v>334</v>
      </c>
      <c r="M237" s="392">
        <v>1</v>
      </c>
      <c r="N237" s="392" t="s">
        <v>332</v>
      </c>
      <c r="O237" s="393" t="s">
        <v>336</v>
      </c>
      <c r="P237" s="130">
        <f t="shared" si="14"/>
        <v>3600000</v>
      </c>
      <c r="Q237" s="394" t="s">
        <v>318</v>
      </c>
      <c r="R237" s="277"/>
    </row>
    <row r="238" spans="1:19" ht="17.45" customHeight="1">
      <c r="A238" s="269"/>
      <c r="B238" s="466"/>
      <c r="C238" s="389" t="s">
        <v>385</v>
      </c>
      <c r="D238" s="487">
        <v>3000</v>
      </c>
      <c r="E238" s="487">
        <f t="shared" si="18"/>
        <v>3000</v>
      </c>
      <c r="F238" s="382"/>
      <c r="G238" s="491">
        <f t="shared" si="19"/>
        <v>0</v>
      </c>
      <c r="H238" s="490">
        <f t="shared" si="20"/>
        <v>0</v>
      </c>
      <c r="I238" s="383" t="s">
        <v>85</v>
      </c>
      <c r="J238" s="130">
        <v>3000000</v>
      </c>
      <c r="K238" s="390" t="s">
        <v>318</v>
      </c>
      <c r="L238" s="391" t="s">
        <v>334</v>
      </c>
      <c r="M238" s="392">
        <v>1</v>
      </c>
      <c r="N238" s="392" t="s">
        <v>332</v>
      </c>
      <c r="O238" s="393" t="s">
        <v>336</v>
      </c>
      <c r="P238" s="130">
        <f t="shared" si="14"/>
        <v>3000000</v>
      </c>
      <c r="Q238" s="394" t="s">
        <v>318</v>
      </c>
      <c r="R238" s="277"/>
    </row>
    <row r="239" spans="1:19" ht="17.45" customHeight="1">
      <c r="A239" s="269"/>
      <c r="B239" s="466"/>
      <c r="C239" s="380" t="s">
        <v>197</v>
      </c>
      <c r="D239" s="487">
        <v>3000</v>
      </c>
      <c r="E239" s="487">
        <f t="shared" si="18"/>
        <v>3000</v>
      </c>
      <c r="F239" s="382"/>
      <c r="G239" s="491">
        <f t="shared" si="19"/>
        <v>0</v>
      </c>
      <c r="H239" s="490">
        <f t="shared" si="20"/>
        <v>0</v>
      </c>
      <c r="I239" s="410" t="s">
        <v>85</v>
      </c>
      <c r="J239" s="129">
        <v>3000000</v>
      </c>
      <c r="K239" s="411" t="s">
        <v>318</v>
      </c>
      <c r="L239" s="412" t="s">
        <v>334</v>
      </c>
      <c r="M239" s="413">
        <v>1</v>
      </c>
      <c r="N239" s="413" t="s">
        <v>332</v>
      </c>
      <c r="O239" s="414" t="s">
        <v>336</v>
      </c>
      <c r="P239" s="129">
        <f t="shared" si="14"/>
        <v>3000000</v>
      </c>
      <c r="Q239" s="399" t="s">
        <v>318</v>
      </c>
      <c r="R239" s="277"/>
      <c r="S239" s="398"/>
    </row>
    <row r="240" spans="1:19" ht="17.45" customHeight="1">
      <c r="A240" s="269"/>
      <c r="B240" s="466"/>
      <c r="C240" s="389" t="s">
        <v>60</v>
      </c>
      <c r="D240" s="487">
        <v>21000</v>
      </c>
      <c r="E240" s="487">
        <f t="shared" si="18"/>
        <v>21000</v>
      </c>
      <c r="F240" s="382"/>
      <c r="G240" s="491">
        <f t="shared" si="19"/>
        <v>0</v>
      </c>
      <c r="H240" s="490">
        <f t="shared" si="20"/>
        <v>0</v>
      </c>
      <c r="I240" s="383" t="s">
        <v>417</v>
      </c>
      <c r="J240" s="130">
        <v>7000000</v>
      </c>
      <c r="K240" s="390" t="s">
        <v>318</v>
      </c>
      <c r="L240" s="391" t="s">
        <v>334</v>
      </c>
      <c r="M240" s="392">
        <v>3</v>
      </c>
      <c r="N240" s="392" t="s">
        <v>332</v>
      </c>
      <c r="O240" s="393" t="s">
        <v>336</v>
      </c>
      <c r="P240" s="130">
        <f t="shared" si="14"/>
        <v>21000000</v>
      </c>
      <c r="Q240" s="394" t="s">
        <v>318</v>
      </c>
      <c r="R240" s="277" t="s">
        <v>3</v>
      </c>
      <c r="S240" s="398"/>
    </row>
    <row r="241" spans="1:19" ht="17.45" customHeight="1">
      <c r="A241" s="331"/>
      <c r="B241" s="469"/>
      <c r="C241" s="395" t="s">
        <v>147</v>
      </c>
      <c r="D241" s="485">
        <v>2700</v>
      </c>
      <c r="E241" s="485">
        <f t="shared" si="18"/>
        <v>2700</v>
      </c>
      <c r="F241" s="397"/>
      <c r="G241" s="484">
        <f t="shared" si="19"/>
        <v>0</v>
      </c>
      <c r="H241" s="483">
        <f t="shared" si="20"/>
        <v>0</v>
      </c>
      <c r="I241" s="383" t="s">
        <v>85</v>
      </c>
      <c r="J241" s="130">
        <v>2700000</v>
      </c>
      <c r="K241" s="390" t="s">
        <v>318</v>
      </c>
      <c r="L241" s="391" t="s">
        <v>334</v>
      </c>
      <c r="M241" s="392">
        <v>1</v>
      </c>
      <c r="N241" s="392" t="s">
        <v>332</v>
      </c>
      <c r="O241" s="393" t="s">
        <v>336</v>
      </c>
      <c r="P241" s="130">
        <f t="shared" si="14"/>
        <v>2700000</v>
      </c>
      <c r="Q241" s="394" t="s">
        <v>318</v>
      </c>
      <c r="R241" s="277"/>
    </row>
    <row r="242" spans="1:19" ht="17.45" customHeight="1">
      <c r="A242" s="331"/>
      <c r="B242" s="469"/>
      <c r="C242" s="380" t="s">
        <v>127</v>
      </c>
      <c r="D242" s="487">
        <v>2400</v>
      </c>
      <c r="E242" s="487">
        <f t="shared" ref="E242:E258" si="21">P242/1000</f>
        <v>2400</v>
      </c>
      <c r="F242" s="382"/>
      <c r="G242" s="491">
        <f t="shared" si="19"/>
        <v>0</v>
      </c>
      <c r="H242" s="490">
        <f t="shared" ref="H242:H251" si="22">+G242/D242*100</f>
        <v>0</v>
      </c>
      <c r="I242" s="383" t="s">
        <v>85</v>
      </c>
      <c r="J242" s="130">
        <v>2400000</v>
      </c>
      <c r="K242" s="390" t="s">
        <v>318</v>
      </c>
      <c r="L242" s="391" t="s">
        <v>334</v>
      </c>
      <c r="M242" s="392">
        <v>1</v>
      </c>
      <c r="N242" s="392" t="s">
        <v>332</v>
      </c>
      <c r="O242" s="393" t="s">
        <v>336</v>
      </c>
      <c r="P242" s="130">
        <f t="shared" si="14"/>
        <v>2400000</v>
      </c>
      <c r="Q242" s="394" t="s">
        <v>318</v>
      </c>
      <c r="R242" s="277"/>
    </row>
    <row r="243" spans="1:19" ht="17.45" customHeight="1">
      <c r="A243" s="331"/>
      <c r="B243" s="469"/>
      <c r="C243" s="402" t="s">
        <v>261</v>
      </c>
      <c r="D243" s="470">
        <v>4662</v>
      </c>
      <c r="E243" s="487">
        <f t="shared" si="21"/>
        <v>4662</v>
      </c>
      <c r="F243" s="403"/>
      <c r="G243" s="491">
        <f t="shared" si="19"/>
        <v>0</v>
      </c>
      <c r="H243" s="490">
        <f t="shared" si="22"/>
        <v>0</v>
      </c>
      <c r="I243" s="383" t="s">
        <v>85</v>
      </c>
      <c r="J243" s="130">
        <v>4662000</v>
      </c>
      <c r="K243" s="390" t="s">
        <v>318</v>
      </c>
      <c r="L243" s="391" t="s">
        <v>334</v>
      </c>
      <c r="M243" s="392">
        <v>1</v>
      </c>
      <c r="N243" s="392" t="s">
        <v>332</v>
      </c>
      <c r="O243" s="393" t="s">
        <v>336</v>
      </c>
      <c r="P243" s="130">
        <f t="shared" si="14"/>
        <v>4662000</v>
      </c>
      <c r="Q243" s="394" t="s">
        <v>318</v>
      </c>
      <c r="R243" s="277" t="s">
        <v>379</v>
      </c>
    </row>
    <row r="244" spans="1:19" ht="17.45" customHeight="1">
      <c r="A244" s="331"/>
      <c r="B244" s="469"/>
      <c r="C244" s="406" t="s">
        <v>494</v>
      </c>
      <c r="D244" s="470">
        <v>2000</v>
      </c>
      <c r="E244" s="487">
        <f>P244/1000</f>
        <v>2000</v>
      </c>
      <c r="F244" s="403"/>
      <c r="G244" s="491">
        <f>+E244-D244</f>
        <v>0</v>
      </c>
      <c r="H244" s="490">
        <f t="shared" si="22"/>
        <v>0</v>
      </c>
      <c r="I244" s="383" t="s">
        <v>85</v>
      </c>
      <c r="J244" s="130">
        <v>500000</v>
      </c>
      <c r="K244" s="390" t="s">
        <v>318</v>
      </c>
      <c r="L244" s="391" t="s">
        <v>334</v>
      </c>
      <c r="M244" s="392">
        <v>4</v>
      </c>
      <c r="N244" s="392" t="s">
        <v>332</v>
      </c>
      <c r="O244" s="393" t="s">
        <v>336</v>
      </c>
      <c r="P244" s="130">
        <f>J244*M244</f>
        <v>2000000</v>
      </c>
      <c r="Q244" s="394" t="s">
        <v>318</v>
      </c>
      <c r="R244" s="277"/>
    </row>
    <row r="245" spans="1:19" ht="17.45" customHeight="1">
      <c r="A245" s="269"/>
      <c r="B245" s="466"/>
      <c r="C245" s="406" t="s">
        <v>448</v>
      </c>
      <c r="D245" s="470">
        <v>10699.999949999999</v>
      </c>
      <c r="E245" s="487">
        <f t="shared" si="21"/>
        <v>10699.999949999999</v>
      </c>
      <c r="F245" s="403"/>
      <c r="G245" s="491">
        <f t="shared" ref="G245:G258" si="23">+E245-D245</f>
        <v>0</v>
      </c>
      <c r="H245" s="490">
        <f t="shared" si="22"/>
        <v>0</v>
      </c>
      <c r="I245" s="383" t="s">
        <v>85</v>
      </c>
      <c r="J245" s="130">
        <v>713333.33</v>
      </c>
      <c r="K245" s="390" t="s">
        <v>318</v>
      </c>
      <c r="L245" s="391" t="s">
        <v>334</v>
      </c>
      <c r="M245" s="392">
        <v>15</v>
      </c>
      <c r="N245" s="392" t="s">
        <v>332</v>
      </c>
      <c r="O245" s="393" t="s">
        <v>336</v>
      </c>
      <c r="P245" s="130">
        <f t="shared" si="14"/>
        <v>10699999.949999999</v>
      </c>
      <c r="Q245" s="394" t="s">
        <v>318</v>
      </c>
      <c r="R245" s="277" t="s">
        <v>12</v>
      </c>
      <c r="S245" s="398"/>
    </row>
    <row r="246" spans="1:19" ht="17.45" customHeight="1">
      <c r="A246" s="269"/>
      <c r="B246" s="466"/>
      <c r="C246" s="389" t="s">
        <v>255</v>
      </c>
      <c r="D246" s="487">
        <v>8700</v>
      </c>
      <c r="E246" s="487">
        <f t="shared" si="21"/>
        <v>8700</v>
      </c>
      <c r="F246" s="403"/>
      <c r="G246" s="491">
        <f t="shared" si="23"/>
        <v>0</v>
      </c>
      <c r="H246" s="490">
        <f t="shared" si="22"/>
        <v>0</v>
      </c>
      <c r="I246" s="383" t="s">
        <v>85</v>
      </c>
      <c r="J246" s="130">
        <v>2175000</v>
      </c>
      <c r="K246" s="390" t="s">
        <v>318</v>
      </c>
      <c r="L246" s="391" t="s">
        <v>334</v>
      </c>
      <c r="M246" s="392">
        <v>4</v>
      </c>
      <c r="N246" s="392" t="s">
        <v>332</v>
      </c>
      <c r="O246" s="393" t="s">
        <v>336</v>
      </c>
      <c r="P246" s="130">
        <f t="shared" si="14"/>
        <v>8700000</v>
      </c>
      <c r="Q246" s="394" t="s">
        <v>318</v>
      </c>
      <c r="R246" s="277" t="s">
        <v>9</v>
      </c>
      <c r="S246" s="398"/>
    </row>
    <row r="247" spans="1:19" ht="17.45" customHeight="1">
      <c r="A247" s="269"/>
      <c r="B247" s="466"/>
      <c r="C247" s="400" t="s">
        <v>279</v>
      </c>
      <c r="D247" s="487">
        <v>116078.97</v>
      </c>
      <c r="E247" s="485">
        <f t="shared" si="21"/>
        <v>116182.05</v>
      </c>
      <c r="F247" s="397"/>
      <c r="G247" s="484">
        <f t="shared" si="23"/>
        <v>103.08000000000175</v>
      </c>
      <c r="H247" s="483">
        <f t="shared" si="22"/>
        <v>8.8801614969534745E-2</v>
      </c>
      <c r="I247" s="29" t="s">
        <v>428</v>
      </c>
      <c r="J247" s="40">
        <v>19363675</v>
      </c>
      <c r="K247" s="12" t="s">
        <v>318</v>
      </c>
      <c r="L247" s="13" t="s">
        <v>347</v>
      </c>
      <c r="M247" s="14">
        <v>6</v>
      </c>
      <c r="N247" s="14" t="s">
        <v>332</v>
      </c>
      <c r="O247" s="15" t="s">
        <v>336</v>
      </c>
      <c r="P247" s="40">
        <f t="shared" si="14"/>
        <v>116182050</v>
      </c>
      <c r="Q247" s="16" t="s">
        <v>318</v>
      </c>
      <c r="R247" s="343" t="s">
        <v>534</v>
      </c>
    </row>
    <row r="248" spans="1:19" ht="17.45" customHeight="1">
      <c r="A248" s="269"/>
      <c r="B248" s="466"/>
      <c r="C248" s="389" t="s">
        <v>499</v>
      </c>
      <c r="D248" s="487">
        <v>2100</v>
      </c>
      <c r="E248" s="487">
        <f t="shared" si="21"/>
        <v>2100</v>
      </c>
      <c r="F248" s="382"/>
      <c r="G248" s="491">
        <f t="shared" si="23"/>
        <v>0</v>
      </c>
      <c r="H248" s="483">
        <f t="shared" si="22"/>
        <v>0</v>
      </c>
      <c r="I248" s="383" t="s">
        <v>85</v>
      </c>
      <c r="J248" s="130">
        <v>2100000</v>
      </c>
      <c r="K248" s="390" t="s">
        <v>318</v>
      </c>
      <c r="L248" s="391" t="s">
        <v>334</v>
      </c>
      <c r="M248" s="392">
        <v>1</v>
      </c>
      <c r="N248" s="392" t="s">
        <v>332</v>
      </c>
      <c r="O248" s="393" t="s">
        <v>336</v>
      </c>
      <c r="P248" s="130">
        <f t="shared" si="14"/>
        <v>2100000</v>
      </c>
      <c r="Q248" s="394" t="s">
        <v>318</v>
      </c>
      <c r="R248" s="277"/>
      <c r="S248" s="398"/>
    </row>
    <row r="249" spans="1:19" ht="17.45" customHeight="1">
      <c r="A249" s="269"/>
      <c r="B249" s="466"/>
      <c r="C249" s="389" t="s">
        <v>288</v>
      </c>
      <c r="D249" s="487">
        <v>3400</v>
      </c>
      <c r="E249" s="487">
        <f t="shared" si="21"/>
        <v>3400</v>
      </c>
      <c r="F249" s="382"/>
      <c r="G249" s="491">
        <f t="shared" si="23"/>
        <v>0</v>
      </c>
      <c r="H249" s="483">
        <f t="shared" si="22"/>
        <v>0</v>
      </c>
      <c r="I249" s="383" t="s">
        <v>85</v>
      </c>
      <c r="J249" s="130">
        <v>850000</v>
      </c>
      <c r="K249" s="390" t="s">
        <v>318</v>
      </c>
      <c r="L249" s="391" t="s">
        <v>334</v>
      </c>
      <c r="M249" s="392">
        <v>4</v>
      </c>
      <c r="N249" s="392" t="s">
        <v>332</v>
      </c>
      <c r="O249" s="393" t="s">
        <v>336</v>
      </c>
      <c r="P249" s="130">
        <f t="shared" si="14"/>
        <v>3400000</v>
      </c>
      <c r="Q249" s="394" t="s">
        <v>318</v>
      </c>
      <c r="R249" s="343"/>
      <c r="S249" s="398"/>
    </row>
    <row r="250" spans="1:19" ht="17.45" customHeight="1">
      <c r="A250" s="269"/>
      <c r="B250" s="466"/>
      <c r="C250" s="408" t="s">
        <v>285</v>
      </c>
      <c r="D250" s="487">
        <v>22534.799999999999</v>
      </c>
      <c r="E250" s="487">
        <f t="shared" si="21"/>
        <v>22534.799999999999</v>
      </c>
      <c r="F250" s="382"/>
      <c r="G250" s="491">
        <f t="shared" si="23"/>
        <v>0</v>
      </c>
      <c r="H250" s="483">
        <f t="shared" si="22"/>
        <v>0</v>
      </c>
      <c r="I250" s="401" t="s">
        <v>428</v>
      </c>
      <c r="J250" s="65">
        <v>11267400</v>
      </c>
      <c r="K250" s="390" t="s">
        <v>318</v>
      </c>
      <c r="L250" s="391" t="s">
        <v>334</v>
      </c>
      <c r="M250" s="392">
        <v>2</v>
      </c>
      <c r="N250" s="392" t="s">
        <v>332</v>
      </c>
      <c r="O250" s="393" t="s">
        <v>336</v>
      </c>
      <c r="P250" s="130">
        <f t="shared" si="14"/>
        <v>22534800</v>
      </c>
      <c r="Q250" s="394" t="s">
        <v>318</v>
      </c>
      <c r="R250" s="343" t="s">
        <v>35</v>
      </c>
      <c r="S250" s="398"/>
    </row>
    <row r="251" spans="1:19" ht="17.45" customHeight="1">
      <c r="A251" s="269"/>
      <c r="B251" s="466"/>
      <c r="C251" s="408" t="s">
        <v>444</v>
      </c>
      <c r="D251" s="487">
        <v>1268</v>
      </c>
      <c r="E251" s="487">
        <f t="shared" si="21"/>
        <v>1268</v>
      </c>
      <c r="F251" s="382"/>
      <c r="G251" s="491">
        <f t="shared" si="23"/>
        <v>0</v>
      </c>
      <c r="H251" s="483">
        <f t="shared" si="22"/>
        <v>0</v>
      </c>
      <c r="I251" s="383" t="s">
        <v>417</v>
      </c>
      <c r="J251" s="65">
        <v>634000</v>
      </c>
      <c r="K251" s="390" t="s">
        <v>318</v>
      </c>
      <c r="L251" s="391" t="s">
        <v>334</v>
      </c>
      <c r="M251" s="392">
        <v>2</v>
      </c>
      <c r="N251" s="392" t="s">
        <v>332</v>
      </c>
      <c r="O251" s="393" t="s">
        <v>336</v>
      </c>
      <c r="P251" s="130">
        <f t="shared" si="14"/>
        <v>1268000</v>
      </c>
      <c r="Q251" s="394" t="s">
        <v>318</v>
      </c>
      <c r="R251" s="277" t="s">
        <v>23</v>
      </c>
      <c r="S251" s="398"/>
    </row>
    <row r="252" spans="1:19" ht="17.45" customHeight="1">
      <c r="A252" s="269"/>
      <c r="B252" s="466"/>
      <c r="C252" s="380" t="s">
        <v>219</v>
      </c>
      <c r="D252" s="487">
        <v>300</v>
      </c>
      <c r="E252" s="487">
        <f t="shared" si="21"/>
        <v>300</v>
      </c>
      <c r="F252" s="382"/>
      <c r="G252" s="491">
        <f t="shared" si="23"/>
        <v>0</v>
      </c>
      <c r="H252" s="490">
        <f t="shared" ref="H252:H257" si="24">G252/D252*100</f>
        <v>0</v>
      </c>
      <c r="I252" s="383" t="s">
        <v>85</v>
      </c>
      <c r="J252" s="65">
        <v>300000</v>
      </c>
      <c r="K252" s="390" t="s">
        <v>318</v>
      </c>
      <c r="L252" s="391" t="s">
        <v>334</v>
      </c>
      <c r="M252" s="392">
        <v>1</v>
      </c>
      <c r="N252" s="392" t="s">
        <v>332</v>
      </c>
      <c r="O252" s="393" t="s">
        <v>336</v>
      </c>
      <c r="P252" s="130">
        <f t="shared" si="14"/>
        <v>300000</v>
      </c>
      <c r="Q252" s="394" t="s">
        <v>318</v>
      </c>
      <c r="R252" s="277"/>
      <c r="S252" s="398"/>
    </row>
    <row r="253" spans="1:19" ht="17.45" customHeight="1">
      <c r="A253" s="269"/>
      <c r="B253" s="466"/>
      <c r="C253" s="380" t="s">
        <v>162</v>
      </c>
      <c r="D253" s="487">
        <v>1650</v>
      </c>
      <c r="E253" s="487">
        <f t="shared" si="21"/>
        <v>1650</v>
      </c>
      <c r="F253" s="382"/>
      <c r="G253" s="491">
        <f t="shared" si="23"/>
        <v>0</v>
      </c>
      <c r="H253" s="490">
        <f t="shared" si="24"/>
        <v>0</v>
      </c>
      <c r="I253" s="383" t="s">
        <v>417</v>
      </c>
      <c r="J253" s="65">
        <v>825000</v>
      </c>
      <c r="K253" s="390" t="s">
        <v>318</v>
      </c>
      <c r="L253" s="391" t="s">
        <v>334</v>
      </c>
      <c r="M253" s="392">
        <v>2</v>
      </c>
      <c r="N253" s="392" t="s">
        <v>332</v>
      </c>
      <c r="O253" s="393" t="s">
        <v>336</v>
      </c>
      <c r="P253" s="130">
        <f t="shared" si="14"/>
        <v>1650000</v>
      </c>
      <c r="Q253" s="394" t="s">
        <v>318</v>
      </c>
      <c r="R253" s="277" t="s">
        <v>403</v>
      </c>
      <c r="S253" s="398"/>
    </row>
    <row r="254" spans="1:19" ht="17.45" customHeight="1">
      <c r="A254" s="269"/>
      <c r="B254" s="466"/>
      <c r="C254" s="380" t="s">
        <v>259</v>
      </c>
      <c r="D254" s="487">
        <v>300</v>
      </c>
      <c r="E254" s="487">
        <f t="shared" si="21"/>
        <v>300</v>
      </c>
      <c r="F254" s="382"/>
      <c r="G254" s="491">
        <f t="shared" si="23"/>
        <v>0</v>
      </c>
      <c r="H254" s="490">
        <f t="shared" si="24"/>
        <v>0</v>
      </c>
      <c r="I254" s="383" t="s">
        <v>85</v>
      </c>
      <c r="J254" s="65">
        <v>300000</v>
      </c>
      <c r="K254" s="390" t="s">
        <v>318</v>
      </c>
      <c r="L254" s="391" t="s">
        <v>334</v>
      </c>
      <c r="M254" s="392">
        <v>1</v>
      </c>
      <c r="N254" s="392" t="s">
        <v>332</v>
      </c>
      <c r="O254" s="393" t="s">
        <v>336</v>
      </c>
      <c r="P254" s="130">
        <f t="shared" si="14"/>
        <v>300000</v>
      </c>
      <c r="Q254" s="394" t="s">
        <v>318</v>
      </c>
      <c r="R254" s="277"/>
      <c r="S254" s="398"/>
    </row>
    <row r="255" spans="1:19" ht="17.45" customHeight="1">
      <c r="A255" s="269"/>
      <c r="B255" s="466"/>
      <c r="C255" s="380" t="s">
        <v>103</v>
      </c>
      <c r="D255" s="487">
        <v>10000</v>
      </c>
      <c r="E255" s="487">
        <f t="shared" si="21"/>
        <v>10000</v>
      </c>
      <c r="F255" s="382"/>
      <c r="G255" s="491">
        <f t="shared" si="23"/>
        <v>0</v>
      </c>
      <c r="H255" s="490">
        <f t="shared" si="24"/>
        <v>0</v>
      </c>
      <c r="I255" s="383" t="s">
        <v>417</v>
      </c>
      <c r="J255" s="65">
        <v>5000000</v>
      </c>
      <c r="K255" s="390" t="s">
        <v>318</v>
      </c>
      <c r="L255" s="391" t="s">
        <v>334</v>
      </c>
      <c r="M255" s="392">
        <v>2</v>
      </c>
      <c r="N255" s="392" t="s">
        <v>332</v>
      </c>
      <c r="O255" s="393" t="s">
        <v>336</v>
      </c>
      <c r="P255" s="130">
        <f t="shared" si="14"/>
        <v>10000000</v>
      </c>
      <c r="Q255" s="394" t="s">
        <v>318</v>
      </c>
      <c r="R255" s="277" t="s">
        <v>42</v>
      </c>
      <c r="S255" s="398"/>
    </row>
    <row r="256" spans="1:19" ht="17.45" customHeight="1">
      <c r="A256" s="269"/>
      <c r="B256" s="466"/>
      <c r="C256" s="389" t="s">
        <v>50</v>
      </c>
      <c r="D256" s="487">
        <v>300</v>
      </c>
      <c r="E256" s="487">
        <f t="shared" si="21"/>
        <v>300</v>
      </c>
      <c r="F256" s="382"/>
      <c r="G256" s="491">
        <f t="shared" si="23"/>
        <v>0</v>
      </c>
      <c r="H256" s="490">
        <f t="shared" si="24"/>
        <v>0</v>
      </c>
      <c r="I256" s="383" t="s">
        <v>85</v>
      </c>
      <c r="J256" s="65">
        <v>300000</v>
      </c>
      <c r="K256" s="390" t="s">
        <v>318</v>
      </c>
      <c r="L256" s="391" t="s">
        <v>334</v>
      </c>
      <c r="M256" s="392">
        <v>1</v>
      </c>
      <c r="N256" s="392" t="s">
        <v>332</v>
      </c>
      <c r="O256" s="393" t="s">
        <v>336</v>
      </c>
      <c r="P256" s="130">
        <f t="shared" si="14"/>
        <v>300000</v>
      </c>
      <c r="Q256" s="394" t="s">
        <v>318</v>
      </c>
      <c r="R256" s="277"/>
      <c r="S256" s="398"/>
    </row>
    <row r="257" spans="1:19" ht="17.45" customHeight="1">
      <c r="A257" s="269"/>
      <c r="B257" s="466"/>
      <c r="C257" s="389" t="s">
        <v>254</v>
      </c>
      <c r="D257" s="487">
        <v>300</v>
      </c>
      <c r="E257" s="487">
        <f t="shared" si="21"/>
        <v>300</v>
      </c>
      <c r="F257" s="382"/>
      <c r="G257" s="491">
        <f t="shared" si="23"/>
        <v>0</v>
      </c>
      <c r="H257" s="490">
        <f t="shared" si="24"/>
        <v>0</v>
      </c>
      <c r="I257" s="383" t="s">
        <v>85</v>
      </c>
      <c r="J257" s="130">
        <v>300000</v>
      </c>
      <c r="K257" s="390" t="s">
        <v>318</v>
      </c>
      <c r="L257" s="391" t="s">
        <v>334</v>
      </c>
      <c r="M257" s="392">
        <v>1</v>
      </c>
      <c r="N257" s="392" t="s">
        <v>332</v>
      </c>
      <c r="O257" s="393" t="s">
        <v>336</v>
      </c>
      <c r="P257" s="130">
        <f t="shared" si="14"/>
        <v>300000</v>
      </c>
      <c r="Q257" s="394" t="s">
        <v>318</v>
      </c>
      <c r="R257" s="277"/>
      <c r="S257" s="398"/>
    </row>
    <row r="258" spans="1:19" ht="17.45" customHeight="1">
      <c r="A258" s="269"/>
      <c r="B258" s="466"/>
      <c r="C258" s="389" t="s">
        <v>445</v>
      </c>
      <c r="D258" s="487">
        <v>300</v>
      </c>
      <c r="E258" s="487">
        <f t="shared" si="21"/>
        <v>300</v>
      </c>
      <c r="F258" s="382"/>
      <c r="G258" s="491">
        <f t="shared" si="23"/>
        <v>0</v>
      </c>
      <c r="H258" s="490">
        <f>+G258/D258*100</f>
        <v>0</v>
      </c>
      <c r="I258" s="383" t="s">
        <v>85</v>
      </c>
      <c r="J258" s="130">
        <v>300000</v>
      </c>
      <c r="K258" s="390" t="s">
        <v>318</v>
      </c>
      <c r="L258" s="391" t="s">
        <v>334</v>
      </c>
      <c r="M258" s="392">
        <v>1</v>
      </c>
      <c r="N258" s="392" t="s">
        <v>332</v>
      </c>
      <c r="O258" s="393" t="s">
        <v>336</v>
      </c>
      <c r="P258" s="130">
        <f t="shared" si="14"/>
        <v>300000</v>
      </c>
      <c r="Q258" s="394" t="s">
        <v>318</v>
      </c>
      <c r="R258" s="277"/>
      <c r="S258" s="398"/>
    </row>
    <row r="259" spans="1:19" ht="17.45" customHeight="1">
      <c r="A259" s="269"/>
      <c r="B259" s="466"/>
      <c r="C259" s="408" t="s">
        <v>314</v>
      </c>
      <c r="D259" s="487">
        <v>31454.56998</v>
      </c>
      <c r="E259" s="487">
        <f t="shared" ref="E259:E264" si="25">P259/1000</f>
        <v>31454.56998</v>
      </c>
      <c r="F259" s="382"/>
      <c r="G259" s="491">
        <f t="shared" ref="G259:G271" si="26">+E259-D259</f>
        <v>0</v>
      </c>
      <c r="H259" s="490">
        <f>+G259/D259*100</f>
        <v>0</v>
      </c>
      <c r="I259" s="401" t="s">
        <v>428</v>
      </c>
      <c r="J259" s="130">
        <v>10484856.66</v>
      </c>
      <c r="K259" s="390" t="s">
        <v>318</v>
      </c>
      <c r="L259" s="391" t="s">
        <v>334</v>
      </c>
      <c r="M259" s="392">
        <v>3</v>
      </c>
      <c r="N259" s="392" t="s">
        <v>332</v>
      </c>
      <c r="O259" s="393" t="s">
        <v>336</v>
      </c>
      <c r="P259" s="130">
        <f t="shared" si="14"/>
        <v>31454569.98</v>
      </c>
      <c r="Q259" s="394" t="s">
        <v>318</v>
      </c>
      <c r="R259" s="343" t="s">
        <v>6</v>
      </c>
      <c r="S259" s="398"/>
    </row>
    <row r="260" spans="1:19" ht="17.45" customHeight="1">
      <c r="A260" s="331"/>
      <c r="B260" s="469"/>
      <c r="C260" s="400" t="s">
        <v>56</v>
      </c>
      <c r="D260" s="485">
        <v>6756</v>
      </c>
      <c r="E260" s="485">
        <f t="shared" si="25"/>
        <v>6756</v>
      </c>
      <c r="F260" s="397"/>
      <c r="G260" s="484">
        <f t="shared" si="26"/>
        <v>0</v>
      </c>
      <c r="H260" s="483">
        <f>+G260/D260*100</f>
        <v>0</v>
      </c>
      <c r="I260" s="383" t="s">
        <v>417</v>
      </c>
      <c r="J260" s="130">
        <v>2252000</v>
      </c>
      <c r="K260" s="390" t="s">
        <v>318</v>
      </c>
      <c r="L260" s="391" t="s">
        <v>334</v>
      </c>
      <c r="M260" s="392">
        <v>3</v>
      </c>
      <c r="N260" s="392" t="s">
        <v>332</v>
      </c>
      <c r="O260" s="393" t="s">
        <v>336</v>
      </c>
      <c r="P260" s="130">
        <f t="shared" si="14"/>
        <v>6756000</v>
      </c>
      <c r="Q260" s="394" t="s">
        <v>318</v>
      </c>
      <c r="R260" s="277" t="s">
        <v>7</v>
      </c>
      <c r="S260" s="398"/>
    </row>
    <row r="261" spans="1:19" ht="17.45" customHeight="1">
      <c r="A261" s="331"/>
      <c r="B261" s="469"/>
      <c r="C261" s="400" t="s">
        <v>58</v>
      </c>
      <c r="D261" s="485">
        <v>300</v>
      </c>
      <c r="E261" s="485">
        <f t="shared" si="25"/>
        <v>300</v>
      </c>
      <c r="F261" s="397"/>
      <c r="G261" s="484">
        <f t="shared" si="26"/>
        <v>0</v>
      </c>
      <c r="H261" s="483">
        <f>+G261/D261*100</f>
        <v>0</v>
      </c>
      <c r="I261" s="383" t="s">
        <v>85</v>
      </c>
      <c r="J261" s="130">
        <v>300000</v>
      </c>
      <c r="K261" s="390" t="s">
        <v>318</v>
      </c>
      <c r="L261" s="391" t="s">
        <v>334</v>
      </c>
      <c r="M261" s="392">
        <v>1</v>
      </c>
      <c r="N261" s="392" t="s">
        <v>332</v>
      </c>
      <c r="O261" s="393" t="s">
        <v>336</v>
      </c>
      <c r="P261" s="130">
        <f t="shared" si="14"/>
        <v>300000</v>
      </c>
      <c r="Q261" s="394" t="s">
        <v>318</v>
      </c>
      <c r="R261" s="277"/>
      <c r="S261" s="398"/>
    </row>
    <row r="262" spans="1:19" ht="17.45" customHeight="1">
      <c r="A262" s="331"/>
      <c r="B262" s="469"/>
      <c r="C262" s="415" t="s">
        <v>295</v>
      </c>
      <c r="D262" s="471">
        <v>48990</v>
      </c>
      <c r="E262" s="485">
        <f t="shared" si="25"/>
        <v>48990</v>
      </c>
      <c r="F262" s="405"/>
      <c r="G262" s="484">
        <f t="shared" si="26"/>
        <v>0</v>
      </c>
      <c r="H262" s="483">
        <f>G262/D262*100</f>
        <v>0</v>
      </c>
      <c r="I262" s="383" t="s">
        <v>417</v>
      </c>
      <c r="J262" s="130">
        <v>12247500</v>
      </c>
      <c r="K262" s="390" t="s">
        <v>318</v>
      </c>
      <c r="L262" s="391" t="s">
        <v>334</v>
      </c>
      <c r="M262" s="392">
        <v>4</v>
      </c>
      <c r="N262" s="392" t="s">
        <v>332</v>
      </c>
      <c r="O262" s="393" t="s">
        <v>336</v>
      </c>
      <c r="P262" s="130">
        <f t="shared" ref="P262:P293" si="27">J262*M262</f>
        <v>48990000</v>
      </c>
      <c r="Q262" s="394" t="s">
        <v>318</v>
      </c>
      <c r="R262" s="277" t="s">
        <v>523</v>
      </c>
      <c r="S262" s="398"/>
    </row>
    <row r="263" spans="1:19" ht="17.45" customHeight="1">
      <c r="A263" s="331"/>
      <c r="B263" s="469"/>
      <c r="C263" s="408" t="s">
        <v>196</v>
      </c>
      <c r="D263" s="487">
        <v>1436.01</v>
      </c>
      <c r="E263" s="487">
        <f t="shared" si="25"/>
        <v>4186.0099799999998</v>
      </c>
      <c r="F263" s="382"/>
      <c r="G263" s="491">
        <f t="shared" si="26"/>
        <v>2749.9999799999996</v>
      </c>
      <c r="H263" s="490">
        <f>G263/D263*100</f>
        <v>191.5028432949631</v>
      </c>
      <c r="I263" s="17" t="s">
        <v>85</v>
      </c>
      <c r="J263" s="40">
        <v>1395336.66</v>
      </c>
      <c r="K263" s="12" t="s">
        <v>318</v>
      </c>
      <c r="L263" s="13" t="s">
        <v>334</v>
      </c>
      <c r="M263" s="14">
        <v>3</v>
      </c>
      <c r="N263" s="14" t="s">
        <v>332</v>
      </c>
      <c r="O263" s="15" t="s">
        <v>336</v>
      </c>
      <c r="P263" s="40">
        <f t="shared" si="27"/>
        <v>4186009.9799999995</v>
      </c>
      <c r="Q263" s="16" t="s">
        <v>318</v>
      </c>
      <c r="R263" s="343" t="s">
        <v>533</v>
      </c>
      <c r="S263" s="398"/>
    </row>
    <row r="264" spans="1:19" ht="17.45" customHeight="1">
      <c r="A264" s="331"/>
      <c r="B264" s="469"/>
      <c r="C264" s="416" t="s">
        <v>305</v>
      </c>
      <c r="D264" s="471">
        <v>13370</v>
      </c>
      <c r="E264" s="485">
        <f t="shared" si="25"/>
        <v>13370</v>
      </c>
      <c r="F264" s="405"/>
      <c r="G264" s="484">
        <f t="shared" si="26"/>
        <v>0</v>
      </c>
      <c r="H264" s="483">
        <f t="shared" ref="H264:H268" si="28">+G264/D264*100</f>
        <v>0</v>
      </c>
      <c r="I264" s="401" t="s">
        <v>85</v>
      </c>
      <c r="J264" s="130">
        <v>6685000</v>
      </c>
      <c r="K264" s="390" t="s">
        <v>318</v>
      </c>
      <c r="L264" s="391" t="s">
        <v>334</v>
      </c>
      <c r="M264" s="392">
        <v>2</v>
      </c>
      <c r="N264" s="392" t="s">
        <v>332</v>
      </c>
      <c r="O264" s="393" t="s">
        <v>336</v>
      </c>
      <c r="P264" s="130">
        <f t="shared" si="27"/>
        <v>13370000</v>
      </c>
      <c r="Q264" s="394" t="s">
        <v>318</v>
      </c>
      <c r="R264" s="343" t="s">
        <v>422</v>
      </c>
    </row>
    <row r="265" spans="1:19" ht="17.45" customHeight="1">
      <c r="A265" s="331"/>
      <c r="B265" s="469"/>
      <c r="C265" s="402" t="s">
        <v>253</v>
      </c>
      <c r="D265" s="470">
        <v>12770</v>
      </c>
      <c r="E265" s="487">
        <f t="shared" ref="E265:E273" si="29">P265/1000</f>
        <v>12770</v>
      </c>
      <c r="F265" s="403"/>
      <c r="G265" s="491">
        <f t="shared" si="26"/>
        <v>0</v>
      </c>
      <c r="H265" s="490">
        <f t="shared" si="28"/>
        <v>0</v>
      </c>
      <c r="I265" s="383" t="s">
        <v>85</v>
      </c>
      <c r="J265" s="130">
        <v>6385000</v>
      </c>
      <c r="K265" s="390" t="s">
        <v>318</v>
      </c>
      <c r="L265" s="391" t="s">
        <v>334</v>
      </c>
      <c r="M265" s="392">
        <v>2</v>
      </c>
      <c r="N265" s="392" t="s">
        <v>332</v>
      </c>
      <c r="O265" s="393" t="s">
        <v>336</v>
      </c>
      <c r="P265" s="130">
        <f t="shared" si="27"/>
        <v>12770000</v>
      </c>
      <c r="Q265" s="394" t="s">
        <v>318</v>
      </c>
      <c r="R265" s="343" t="s">
        <v>422</v>
      </c>
    </row>
    <row r="266" spans="1:19" ht="17.45" customHeight="1">
      <c r="A266" s="331"/>
      <c r="B266" s="469"/>
      <c r="C266" s="406" t="s">
        <v>549</v>
      </c>
      <c r="D266" s="470">
        <v>300</v>
      </c>
      <c r="E266" s="487">
        <f t="shared" si="29"/>
        <v>300</v>
      </c>
      <c r="F266" s="403"/>
      <c r="G266" s="491">
        <f t="shared" si="26"/>
        <v>0</v>
      </c>
      <c r="H266" s="490">
        <f t="shared" si="28"/>
        <v>0</v>
      </c>
      <c r="I266" s="401" t="s">
        <v>85</v>
      </c>
      <c r="J266" s="130">
        <v>300000</v>
      </c>
      <c r="K266" s="390" t="s">
        <v>318</v>
      </c>
      <c r="L266" s="391" t="s">
        <v>334</v>
      </c>
      <c r="M266" s="392">
        <v>1</v>
      </c>
      <c r="N266" s="392" t="s">
        <v>332</v>
      </c>
      <c r="O266" s="393" t="s">
        <v>336</v>
      </c>
      <c r="P266" s="130">
        <f t="shared" si="27"/>
        <v>300000</v>
      </c>
      <c r="Q266" s="394" t="s">
        <v>318</v>
      </c>
      <c r="R266" s="343"/>
    </row>
    <row r="267" spans="1:19" ht="17.45" customHeight="1">
      <c r="A267" s="331"/>
      <c r="B267" s="469"/>
      <c r="C267" s="380" t="s">
        <v>205</v>
      </c>
      <c r="D267" s="487">
        <v>10000</v>
      </c>
      <c r="E267" s="487">
        <f t="shared" si="29"/>
        <v>10000</v>
      </c>
      <c r="F267" s="382"/>
      <c r="G267" s="491">
        <f t="shared" si="26"/>
        <v>0</v>
      </c>
      <c r="H267" s="490">
        <f t="shared" si="28"/>
        <v>0</v>
      </c>
      <c r="I267" s="514" t="s">
        <v>85</v>
      </c>
      <c r="J267" s="129">
        <v>2500000</v>
      </c>
      <c r="K267" s="411" t="s">
        <v>318</v>
      </c>
      <c r="L267" s="412" t="s">
        <v>334</v>
      </c>
      <c r="M267" s="413">
        <v>4</v>
      </c>
      <c r="N267" s="413" t="s">
        <v>332</v>
      </c>
      <c r="O267" s="414" t="s">
        <v>336</v>
      </c>
      <c r="P267" s="129">
        <f t="shared" si="27"/>
        <v>10000000</v>
      </c>
      <c r="Q267" s="399" t="s">
        <v>318</v>
      </c>
      <c r="R267" s="343"/>
    </row>
    <row r="268" spans="1:19" ht="17.45" customHeight="1">
      <c r="A268" s="331" t="s">
        <v>343</v>
      </c>
      <c r="B268" s="469" t="s">
        <v>343</v>
      </c>
      <c r="C268" s="400" t="s">
        <v>271</v>
      </c>
      <c r="D268" s="485">
        <v>5000</v>
      </c>
      <c r="E268" s="485">
        <f t="shared" si="29"/>
        <v>5000</v>
      </c>
      <c r="F268" s="397"/>
      <c r="G268" s="484">
        <f t="shared" si="26"/>
        <v>0</v>
      </c>
      <c r="H268" s="483">
        <f t="shared" si="28"/>
        <v>0</v>
      </c>
      <c r="I268" s="383" t="s">
        <v>85</v>
      </c>
      <c r="J268" s="130">
        <v>5000000</v>
      </c>
      <c r="K268" s="390" t="s">
        <v>318</v>
      </c>
      <c r="L268" s="391" t="s">
        <v>334</v>
      </c>
      <c r="M268" s="392">
        <v>1</v>
      </c>
      <c r="N268" s="392" t="s">
        <v>332</v>
      </c>
      <c r="O268" s="393" t="s">
        <v>336</v>
      </c>
      <c r="P268" s="130">
        <f t="shared" si="27"/>
        <v>5000000</v>
      </c>
      <c r="Q268" s="394" t="s">
        <v>318</v>
      </c>
      <c r="R268" s="343"/>
    </row>
    <row r="269" spans="1:19" ht="17.45" customHeight="1">
      <c r="A269" s="331"/>
      <c r="B269" s="469"/>
      <c r="C269" s="404" t="s">
        <v>222</v>
      </c>
      <c r="D269" s="471">
        <v>37896.319980000007</v>
      </c>
      <c r="E269" s="485">
        <f t="shared" si="29"/>
        <v>37896.319980000007</v>
      </c>
      <c r="F269" s="405"/>
      <c r="G269" s="484">
        <f t="shared" si="26"/>
        <v>0</v>
      </c>
      <c r="H269" s="483">
        <f>G269/D269*100</f>
        <v>0</v>
      </c>
      <c r="I269" s="401" t="s">
        <v>510</v>
      </c>
      <c r="J269" s="130">
        <v>12632106.66</v>
      </c>
      <c r="K269" s="390" t="s">
        <v>318</v>
      </c>
      <c r="L269" s="391" t="s">
        <v>334</v>
      </c>
      <c r="M269" s="392">
        <v>3</v>
      </c>
      <c r="N269" s="392" t="s">
        <v>332</v>
      </c>
      <c r="O269" s="393" t="s">
        <v>336</v>
      </c>
      <c r="P269" s="130">
        <f t="shared" si="27"/>
        <v>37896319.980000004</v>
      </c>
      <c r="Q269" s="394" t="s">
        <v>318</v>
      </c>
      <c r="R269" s="343" t="s">
        <v>524</v>
      </c>
      <c r="S269" s="398"/>
    </row>
    <row r="270" spans="1:19" ht="17.45" customHeight="1">
      <c r="A270" s="269"/>
      <c r="B270" s="466"/>
      <c r="C270" s="402" t="s">
        <v>195</v>
      </c>
      <c r="D270" s="470">
        <v>300</v>
      </c>
      <c r="E270" s="487">
        <f t="shared" si="29"/>
        <v>300</v>
      </c>
      <c r="F270" s="403"/>
      <c r="G270" s="491">
        <f t="shared" si="26"/>
        <v>0</v>
      </c>
      <c r="H270" s="490">
        <f>G270/D270*100</f>
        <v>0</v>
      </c>
      <c r="I270" s="383" t="s">
        <v>85</v>
      </c>
      <c r="J270" s="130">
        <v>300000</v>
      </c>
      <c r="K270" s="390" t="s">
        <v>318</v>
      </c>
      <c r="L270" s="391" t="s">
        <v>334</v>
      </c>
      <c r="M270" s="392">
        <v>1</v>
      </c>
      <c r="N270" s="392" t="s">
        <v>332</v>
      </c>
      <c r="O270" s="393" t="s">
        <v>336</v>
      </c>
      <c r="P270" s="130">
        <f t="shared" si="27"/>
        <v>300000</v>
      </c>
      <c r="Q270" s="394" t="s">
        <v>318</v>
      </c>
      <c r="R270" s="277"/>
      <c r="S270" s="398"/>
    </row>
    <row r="271" spans="1:19" ht="17.45" customHeight="1">
      <c r="A271" s="269"/>
      <c r="B271" s="466"/>
      <c r="C271" s="402" t="s">
        <v>230</v>
      </c>
      <c r="D271" s="470">
        <v>2300</v>
      </c>
      <c r="E271" s="487">
        <f t="shared" si="29"/>
        <v>2300</v>
      </c>
      <c r="F271" s="403"/>
      <c r="G271" s="491">
        <f t="shared" si="26"/>
        <v>0</v>
      </c>
      <c r="H271" s="490">
        <f>G271/D271*100</f>
        <v>0</v>
      </c>
      <c r="I271" s="383" t="s">
        <v>417</v>
      </c>
      <c r="J271" s="130">
        <v>1150000</v>
      </c>
      <c r="K271" s="390" t="s">
        <v>318</v>
      </c>
      <c r="L271" s="391" t="s">
        <v>334</v>
      </c>
      <c r="M271" s="392">
        <v>2</v>
      </c>
      <c r="N271" s="392" t="s">
        <v>332</v>
      </c>
      <c r="O271" s="393" t="s">
        <v>336</v>
      </c>
      <c r="P271" s="130">
        <f t="shared" si="27"/>
        <v>2300000</v>
      </c>
      <c r="Q271" s="394" t="s">
        <v>318</v>
      </c>
      <c r="R271" s="277" t="s">
        <v>30</v>
      </c>
      <c r="S271" s="398"/>
    </row>
    <row r="272" spans="1:19" ht="17.45" customHeight="1">
      <c r="A272" s="269"/>
      <c r="B272" s="466"/>
      <c r="C272" s="402" t="s">
        <v>209</v>
      </c>
      <c r="D272" s="470">
        <v>2100</v>
      </c>
      <c r="E272" s="487">
        <f t="shared" si="29"/>
        <v>2100</v>
      </c>
      <c r="F272" s="403"/>
      <c r="G272" s="491">
        <f t="shared" ref="G272:G284" si="30">+E272-D272</f>
        <v>0</v>
      </c>
      <c r="H272" s="490">
        <f>G272/D272*100</f>
        <v>0</v>
      </c>
      <c r="I272" s="383" t="s">
        <v>85</v>
      </c>
      <c r="J272" s="130">
        <v>2100000</v>
      </c>
      <c r="K272" s="390" t="s">
        <v>318</v>
      </c>
      <c r="L272" s="391" t="s">
        <v>334</v>
      </c>
      <c r="M272" s="392">
        <v>1</v>
      </c>
      <c r="N272" s="392" t="s">
        <v>332</v>
      </c>
      <c r="O272" s="393" t="s">
        <v>336</v>
      </c>
      <c r="P272" s="130">
        <f t="shared" si="27"/>
        <v>2100000</v>
      </c>
      <c r="Q272" s="394" t="s">
        <v>318</v>
      </c>
      <c r="R272" s="277"/>
      <c r="S272" s="398"/>
    </row>
    <row r="273" spans="1:19" ht="17.45" customHeight="1">
      <c r="A273" s="269"/>
      <c r="B273" s="466"/>
      <c r="C273" s="402" t="s">
        <v>213</v>
      </c>
      <c r="D273" s="470">
        <v>1903.25</v>
      </c>
      <c r="E273" s="487">
        <f t="shared" si="29"/>
        <v>1903.25</v>
      </c>
      <c r="F273" s="403"/>
      <c r="G273" s="491">
        <f t="shared" si="30"/>
        <v>0</v>
      </c>
      <c r="H273" s="490">
        <f>G273/D273*100</f>
        <v>0</v>
      </c>
      <c r="I273" s="383" t="s">
        <v>417</v>
      </c>
      <c r="J273" s="130">
        <v>951625</v>
      </c>
      <c r="K273" s="390" t="s">
        <v>318</v>
      </c>
      <c r="L273" s="391" t="s">
        <v>334</v>
      </c>
      <c r="M273" s="392">
        <v>2</v>
      </c>
      <c r="N273" s="392" t="s">
        <v>332</v>
      </c>
      <c r="O273" s="393" t="s">
        <v>336</v>
      </c>
      <c r="P273" s="130">
        <f t="shared" si="27"/>
        <v>1903250</v>
      </c>
      <c r="Q273" s="394" t="s">
        <v>318</v>
      </c>
      <c r="R273" s="277" t="s">
        <v>377</v>
      </c>
      <c r="S273" s="398"/>
    </row>
    <row r="274" spans="1:19" ht="17.45" customHeight="1">
      <c r="A274" s="269"/>
      <c r="B274" s="466"/>
      <c r="C274" s="406" t="s">
        <v>292</v>
      </c>
      <c r="D274" s="470">
        <v>34000</v>
      </c>
      <c r="E274" s="487">
        <f t="shared" ref="E274:E284" si="31">P274/1000</f>
        <v>34000</v>
      </c>
      <c r="F274" s="403"/>
      <c r="G274" s="491">
        <f t="shared" si="30"/>
        <v>0</v>
      </c>
      <c r="H274" s="490">
        <f t="shared" ref="H274:H280" si="32">+G274/D274*100</f>
        <v>0</v>
      </c>
      <c r="I274" s="383" t="s">
        <v>85</v>
      </c>
      <c r="J274" s="130">
        <v>8500000</v>
      </c>
      <c r="K274" s="390" t="s">
        <v>318</v>
      </c>
      <c r="L274" s="391" t="s">
        <v>334</v>
      </c>
      <c r="M274" s="392">
        <v>4</v>
      </c>
      <c r="N274" s="392" t="s">
        <v>332</v>
      </c>
      <c r="O274" s="393" t="s">
        <v>336</v>
      </c>
      <c r="P274" s="130">
        <f t="shared" si="27"/>
        <v>34000000</v>
      </c>
      <c r="Q274" s="394" t="s">
        <v>318</v>
      </c>
      <c r="R274" s="277"/>
    </row>
    <row r="275" spans="1:19" ht="17.45" customHeight="1">
      <c r="A275" s="269"/>
      <c r="B275" s="466"/>
      <c r="C275" s="406" t="s">
        <v>456</v>
      </c>
      <c r="D275" s="470">
        <v>3215</v>
      </c>
      <c r="E275" s="487">
        <f t="shared" si="31"/>
        <v>3215</v>
      </c>
      <c r="F275" s="403"/>
      <c r="G275" s="491">
        <f t="shared" si="30"/>
        <v>0</v>
      </c>
      <c r="H275" s="490">
        <f t="shared" si="32"/>
        <v>0</v>
      </c>
      <c r="I275" s="383" t="s">
        <v>417</v>
      </c>
      <c r="J275" s="130">
        <v>1607500</v>
      </c>
      <c r="K275" s="390" t="s">
        <v>318</v>
      </c>
      <c r="L275" s="391" t="s">
        <v>334</v>
      </c>
      <c r="M275" s="392">
        <v>2</v>
      </c>
      <c r="N275" s="392" t="s">
        <v>332</v>
      </c>
      <c r="O275" s="393" t="s">
        <v>336</v>
      </c>
      <c r="P275" s="130">
        <f t="shared" si="27"/>
        <v>3215000</v>
      </c>
      <c r="Q275" s="394" t="s">
        <v>318</v>
      </c>
      <c r="R275" s="277" t="s">
        <v>25</v>
      </c>
      <c r="S275" s="398"/>
    </row>
    <row r="276" spans="1:19" ht="17.45" customHeight="1">
      <c r="A276" s="269"/>
      <c r="B276" s="466"/>
      <c r="C276" s="406" t="s">
        <v>296</v>
      </c>
      <c r="D276" s="470">
        <v>5000</v>
      </c>
      <c r="E276" s="487">
        <f t="shared" si="31"/>
        <v>5000</v>
      </c>
      <c r="F276" s="403"/>
      <c r="G276" s="491">
        <f t="shared" si="30"/>
        <v>0</v>
      </c>
      <c r="H276" s="490">
        <f t="shared" si="32"/>
        <v>0</v>
      </c>
      <c r="I276" s="383" t="s">
        <v>85</v>
      </c>
      <c r="J276" s="130">
        <v>1250000</v>
      </c>
      <c r="K276" s="390" t="s">
        <v>318</v>
      </c>
      <c r="L276" s="391" t="s">
        <v>334</v>
      </c>
      <c r="M276" s="392">
        <v>4</v>
      </c>
      <c r="N276" s="392" t="s">
        <v>332</v>
      </c>
      <c r="O276" s="393" t="s">
        <v>336</v>
      </c>
      <c r="P276" s="130">
        <f t="shared" si="27"/>
        <v>5000000</v>
      </c>
      <c r="Q276" s="394" t="s">
        <v>318</v>
      </c>
      <c r="R276" s="277"/>
      <c r="S276" s="398"/>
    </row>
    <row r="277" spans="1:19" ht="17.45" customHeight="1">
      <c r="A277" s="269"/>
      <c r="B277" s="466"/>
      <c r="C277" s="406" t="s">
        <v>473</v>
      </c>
      <c r="D277" s="470">
        <v>54172.94</v>
      </c>
      <c r="E277" s="487">
        <f t="shared" si="31"/>
        <v>54172.94</v>
      </c>
      <c r="F277" s="403"/>
      <c r="G277" s="491">
        <f t="shared" si="30"/>
        <v>0</v>
      </c>
      <c r="H277" s="490">
        <v>0</v>
      </c>
      <c r="I277" s="401" t="s">
        <v>412</v>
      </c>
      <c r="J277" s="130">
        <v>27086470</v>
      </c>
      <c r="K277" s="390" t="s">
        <v>318</v>
      </c>
      <c r="L277" s="391" t="s">
        <v>334</v>
      </c>
      <c r="M277" s="392">
        <v>2</v>
      </c>
      <c r="N277" s="392" t="s">
        <v>332</v>
      </c>
      <c r="O277" s="393" t="s">
        <v>336</v>
      </c>
      <c r="P277" s="130">
        <f t="shared" si="27"/>
        <v>54172940</v>
      </c>
      <c r="Q277" s="394" t="s">
        <v>318</v>
      </c>
      <c r="R277" s="343" t="s">
        <v>68</v>
      </c>
      <c r="S277" s="398"/>
    </row>
    <row r="278" spans="1:19" ht="17.45" customHeight="1">
      <c r="A278" s="331"/>
      <c r="B278" s="469"/>
      <c r="C278" s="406" t="s">
        <v>479</v>
      </c>
      <c r="D278" s="470">
        <v>82184.350000000006</v>
      </c>
      <c r="E278" s="487">
        <f t="shared" si="31"/>
        <v>82184.350000000006</v>
      </c>
      <c r="F278" s="403"/>
      <c r="G278" s="491">
        <f t="shared" si="30"/>
        <v>0</v>
      </c>
      <c r="H278" s="490">
        <f t="shared" si="32"/>
        <v>0</v>
      </c>
      <c r="I278" s="401" t="s">
        <v>428</v>
      </c>
      <c r="J278" s="130">
        <v>16436870</v>
      </c>
      <c r="K278" s="390" t="s">
        <v>318</v>
      </c>
      <c r="L278" s="391" t="s">
        <v>334</v>
      </c>
      <c r="M278" s="392">
        <v>5</v>
      </c>
      <c r="N278" s="392" t="s">
        <v>332</v>
      </c>
      <c r="O278" s="393" t="s">
        <v>336</v>
      </c>
      <c r="P278" s="130">
        <f t="shared" si="27"/>
        <v>82184350</v>
      </c>
      <c r="Q278" s="394" t="s">
        <v>318</v>
      </c>
      <c r="R278" s="343" t="s">
        <v>21</v>
      </c>
    </row>
    <row r="279" spans="1:19" ht="17.45" customHeight="1">
      <c r="A279" s="269"/>
      <c r="B279" s="466"/>
      <c r="C279" s="402" t="s">
        <v>190</v>
      </c>
      <c r="D279" s="470">
        <v>14044.999980000001</v>
      </c>
      <c r="E279" s="487">
        <f t="shared" si="31"/>
        <v>14044.999980000001</v>
      </c>
      <c r="F279" s="403"/>
      <c r="G279" s="491">
        <f t="shared" si="30"/>
        <v>0</v>
      </c>
      <c r="H279" s="490">
        <f t="shared" si="32"/>
        <v>0</v>
      </c>
      <c r="I279" s="383" t="s">
        <v>417</v>
      </c>
      <c r="J279" s="130">
        <v>4681666.66</v>
      </c>
      <c r="K279" s="390" t="s">
        <v>318</v>
      </c>
      <c r="L279" s="391" t="s">
        <v>334</v>
      </c>
      <c r="M279" s="392">
        <v>3</v>
      </c>
      <c r="N279" s="392" t="s">
        <v>332</v>
      </c>
      <c r="O279" s="393" t="s">
        <v>336</v>
      </c>
      <c r="P279" s="130">
        <f t="shared" si="27"/>
        <v>14044999.98</v>
      </c>
      <c r="Q279" s="394" t="s">
        <v>318</v>
      </c>
      <c r="R279" s="277" t="s">
        <v>65</v>
      </c>
      <c r="S279" s="398"/>
    </row>
    <row r="280" spans="1:19" ht="17.45" customHeight="1">
      <c r="A280" s="269"/>
      <c r="B280" s="466"/>
      <c r="C280" s="406" t="s">
        <v>449</v>
      </c>
      <c r="D280" s="470">
        <v>300</v>
      </c>
      <c r="E280" s="487">
        <f t="shared" si="31"/>
        <v>300</v>
      </c>
      <c r="F280" s="403"/>
      <c r="G280" s="491">
        <f t="shared" si="30"/>
        <v>0</v>
      </c>
      <c r="H280" s="490">
        <f t="shared" si="32"/>
        <v>0</v>
      </c>
      <c r="I280" s="383" t="s">
        <v>85</v>
      </c>
      <c r="J280" s="130">
        <v>300000</v>
      </c>
      <c r="K280" s="390" t="s">
        <v>318</v>
      </c>
      <c r="L280" s="391" t="s">
        <v>334</v>
      </c>
      <c r="M280" s="392">
        <v>1</v>
      </c>
      <c r="N280" s="392" t="s">
        <v>332</v>
      </c>
      <c r="O280" s="393" t="s">
        <v>336</v>
      </c>
      <c r="P280" s="130">
        <f t="shared" si="27"/>
        <v>300000</v>
      </c>
      <c r="Q280" s="394" t="s">
        <v>318</v>
      </c>
      <c r="R280" s="277"/>
      <c r="S280" s="398"/>
    </row>
    <row r="281" spans="1:19" ht="17.45" customHeight="1">
      <c r="A281" s="269"/>
      <c r="B281" s="466"/>
      <c r="C281" s="406" t="s">
        <v>475</v>
      </c>
      <c r="D281" s="470">
        <v>300</v>
      </c>
      <c r="E281" s="487">
        <f t="shared" si="31"/>
        <v>300</v>
      </c>
      <c r="F281" s="403"/>
      <c r="G281" s="491">
        <f t="shared" si="30"/>
        <v>0</v>
      </c>
      <c r="H281" s="490">
        <f>G281/D281*100</f>
        <v>0</v>
      </c>
      <c r="I281" s="383" t="s">
        <v>85</v>
      </c>
      <c r="J281" s="130">
        <v>300000</v>
      </c>
      <c r="K281" s="390" t="s">
        <v>318</v>
      </c>
      <c r="L281" s="391" t="s">
        <v>334</v>
      </c>
      <c r="M281" s="392">
        <v>1</v>
      </c>
      <c r="N281" s="392" t="s">
        <v>332</v>
      </c>
      <c r="O281" s="393" t="s">
        <v>336</v>
      </c>
      <c r="P281" s="130">
        <f t="shared" si="27"/>
        <v>300000</v>
      </c>
      <c r="Q281" s="394" t="s">
        <v>318</v>
      </c>
      <c r="R281" s="277"/>
      <c r="S281" s="398"/>
    </row>
    <row r="282" spans="1:19" ht="17.45" customHeight="1">
      <c r="A282" s="269"/>
      <c r="B282" s="466"/>
      <c r="C282" s="389" t="s">
        <v>287</v>
      </c>
      <c r="D282" s="470">
        <v>4800</v>
      </c>
      <c r="E282" s="487">
        <f t="shared" si="31"/>
        <v>4800</v>
      </c>
      <c r="F282" s="403"/>
      <c r="G282" s="491">
        <f t="shared" si="30"/>
        <v>0</v>
      </c>
      <c r="H282" s="490">
        <f>G282/D282*100</f>
        <v>0</v>
      </c>
      <c r="I282" s="383" t="s">
        <v>417</v>
      </c>
      <c r="J282" s="130">
        <v>2400000</v>
      </c>
      <c r="K282" s="390" t="s">
        <v>318</v>
      </c>
      <c r="L282" s="391" t="s">
        <v>334</v>
      </c>
      <c r="M282" s="392">
        <v>2</v>
      </c>
      <c r="N282" s="392" t="s">
        <v>332</v>
      </c>
      <c r="O282" s="393" t="s">
        <v>336</v>
      </c>
      <c r="P282" s="130">
        <f t="shared" si="27"/>
        <v>4800000</v>
      </c>
      <c r="Q282" s="394" t="s">
        <v>318</v>
      </c>
      <c r="R282" s="277" t="s">
        <v>34</v>
      </c>
      <c r="S282" s="398"/>
    </row>
    <row r="283" spans="1:19" ht="17.45" customHeight="1">
      <c r="A283" s="269"/>
      <c r="B283" s="466"/>
      <c r="C283" s="389" t="s">
        <v>59</v>
      </c>
      <c r="D283" s="470">
        <v>1200</v>
      </c>
      <c r="E283" s="487">
        <f t="shared" si="31"/>
        <v>1200</v>
      </c>
      <c r="F283" s="403"/>
      <c r="G283" s="491">
        <f t="shared" si="30"/>
        <v>0</v>
      </c>
      <c r="H283" s="490">
        <f>G283/D283*100</f>
        <v>0</v>
      </c>
      <c r="I283" s="383" t="s">
        <v>85</v>
      </c>
      <c r="J283" s="130">
        <v>1200000</v>
      </c>
      <c r="K283" s="390" t="s">
        <v>318</v>
      </c>
      <c r="L283" s="391" t="s">
        <v>334</v>
      </c>
      <c r="M283" s="392">
        <v>1</v>
      </c>
      <c r="N283" s="392" t="s">
        <v>332</v>
      </c>
      <c r="O283" s="393" t="s">
        <v>336</v>
      </c>
      <c r="P283" s="130">
        <f t="shared" si="27"/>
        <v>1200000</v>
      </c>
      <c r="Q283" s="394" t="s">
        <v>318</v>
      </c>
      <c r="R283" s="277"/>
      <c r="S283" s="398"/>
    </row>
    <row r="284" spans="1:19" ht="17.45" customHeight="1">
      <c r="A284" s="269"/>
      <c r="B284" s="466"/>
      <c r="C284" s="406" t="s">
        <v>495</v>
      </c>
      <c r="D284" s="470">
        <v>300</v>
      </c>
      <c r="E284" s="487">
        <f t="shared" si="31"/>
        <v>300</v>
      </c>
      <c r="F284" s="403"/>
      <c r="G284" s="491">
        <f t="shared" si="30"/>
        <v>0</v>
      </c>
      <c r="H284" s="490">
        <f>G284/D284*100</f>
        <v>0</v>
      </c>
      <c r="I284" s="383" t="s">
        <v>85</v>
      </c>
      <c r="J284" s="130">
        <v>300000</v>
      </c>
      <c r="K284" s="390" t="s">
        <v>318</v>
      </c>
      <c r="L284" s="391" t="s">
        <v>334</v>
      </c>
      <c r="M284" s="392">
        <v>1</v>
      </c>
      <c r="N284" s="392" t="s">
        <v>332</v>
      </c>
      <c r="O284" s="393" t="s">
        <v>336</v>
      </c>
      <c r="P284" s="130">
        <f t="shared" si="27"/>
        <v>300000</v>
      </c>
      <c r="Q284" s="394" t="s">
        <v>318</v>
      </c>
      <c r="R284" s="277"/>
      <c r="S284" s="398"/>
    </row>
    <row r="285" spans="1:19" ht="17.45" customHeight="1">
      <c r="A285" s="269"/>
      <c r="B285" s="466"/>
      <c r="C285" s="402" t="s">
        <v>130</v>
      </c>
      <c r="D285" s="470">
        <v>12535.75</v>
      </c>
      <c r="E285" s="487">
        <f t="shared" ref="E285:E293" si="33">P285/1000</f>
        <v>12535.75</v>
      </c>
      <c r="F285" s="403"/>
      <c r="G285" s="491">
        <f t="shared" ref="G285:G297" si="34">+E285-D285</f>
        <v>0</v>
      </c>
      <c r="H285" s="490">
        <f t="shared" ref="H285:H293" si="35">+G285/D285*100</f>
        <v>0</v>
      </c>
      <c r="I285" s="383" t="s">
        <v>417</v>
      </c>
      <c r="J285" s="130">
        <v>6267875</v>
      </c>
      <c r="K285" s="390" t="s">
        <v>318</v>
      </c>
      <c r="L285" s="391" t="s">
        <v>334</v>
      </c>
      <c r="M285" s="392">
        <v>2</v>
      </c>
      <c r="N285" s="392" t="s">
        <v>332</v>
      </c>
      <c r="O285" s="393" t="s">
        <v>336</v>
      </c>
      <c r="P285" s="130">
        <f t="shared" si="27"/>
        <v>12535750</v>
      </c>
      <c r="Q285" s="394" t="s">
        <v>318</v>
      </c>
      <c r="R285" s="277" t="s">
        <v>503</v>
      </c>
      <c r="S285" s="398"/>
    </row>
    <row r="286" spans="1:19" ht="17.45" customHeight="1">
      <c r="A286" s="269"/>
      <c r="B286" s="466"/>
      <c r="C286" s="402" t="s">
        <v>250</v>
      </c>
      <c r="D286" s="494">
        <v>15670</v>
      </c>
      <c r="E286" s="487">
        <f t="shared" si="33"/>
        <v>15670</v>
      </c>
      <c r="F286" s="403"/>
      <c r="G286" s="491">
        <f t="shared" si="34"/>
        <v>0</v>
      </c>
      <c r="H286" s="515">
        <f t="shared" si="35"/>
        <v>0</v>
      </c>
      <c r="I286" s="383" t="s">
        <v>417</v>
      </c>
      <c r="J286" s="130">
        <v>3134000</v>
      </c>
      <c r="K286" s="390" t="s">
        <v>318</v>
      </c>
      <c r="L286" s="391" t="s">
        <v>334</v>
      </c>
      <c r="M286" s="392">
        <v>5</v>
      </c>
      <c r="N286" s="392" t="s">
        <v>332</v>
      </c>
      <c r="O286" s="393" t="s">
        <v>336</v>
      </c>
      <c r="P286" s="130">
        <f>J286*M286</f>
        <v>15670000</v>
      </c>
      <c r="Q286" s="394" t="s">
        <v>318</v>
      </c>
      <c r="R286" s="112" t="s">
        <v>42</v>
      </c>
      <c r="S286" s="182"/>
    </row>
    <row r="287" spans="1:19" ht="17.45" customHeight="1">
      <c r="A287" s="269"/>
      <c r="B287" s="466"/>
      <c r="C287" s="402" t="s">
        <v>74</v>
      </c>
      <c r="D287" s="494">
        <v>6200</v>
      </c>
      <c r="E287" s="487">
        <f t="shared" si="33"/>
        <v>6200</v>
      </c>
      <c r="F287" s="403"/>
      <c r="G287" s="491">
        <f t="shared" si="34"/>
        <v>0</v>
      </c>
      <c r="H287" s="515">
        <f t="shared" si="35"/>
        <v>0</v>
      </c>
      <c r="I287" s="383" t="s">
        <v>85</v>
      </c>
      <c r="J287" s="130">
        <v>1550000</v>
      </c>
      <c r="K287" s="390" t="s">
        <v>318</v>
      </c>
      <c r="L287" s="391" t="s">
        <v>334</v>
      </c>
      <c r="M287" s="392">
        <v>4</v>
      </c>
      <c r="N287" s="392" t="s">
        <v>332</v>
      </c>
      <c r="O287" s="393" t="s">
        <v>336</v>
      </c>
      <c r="P287" s="130">
        <f>J287*M287</f>
        <v>6200000</v>
      </c>
      <c r="Q287" s="394" t="s">
        <v>318</v>
      </c>
      <c r="R287" s="277"/>
      <c r="S287" s="398"/>
    </row>
    <row r="288" spans="1:19" ht="17.45" customHeight="1">
      <c r="A288" s="269"/>
      <c r="B288" s="466"/>
      <c r="C288" s="402" t="s">
        <v>224</v>
      </c>
      <c r="D288" s="470">
        <v>10884.349980000001</v>
      </c>
      <c r="E288" s="487">
        <f t="shared" si="33"/>
        <v>10884.349980000001</v>
      </c>
      <c r="F288" s="403"/>
      <c r="G288" s="491">
        <f t="shared" si="34"/>
        <v>0</v>
      </c>
      <c r="H288" s="490">
        <f t="shared" si="35"/>
        <v>0</v>
      </c>
      <c r="I288" s="383" t="s">
        <v>417</v>
      </c>
      <c r="J288" s="130">
        <v>3628116.66</v>
      </c>
      <c r="K288" s="390" t="s">
        <v>318</v>
      </c>
      <c r="L288" s="391" t="s">
        <v>334</v>
      </c>
      <c r="M288" s="392">
        <v>3</v>
      </c>
      <c r="N288" s="392" t="s">
        <v>332</v>
      </c>
      <c r="O288" s="393" t="s">
        <v>336</v>
      </c>
      <c r="P288" s="130">
        <f t="shared" si="27"/>
        <v>10884349.98</v>
      </c>
      <c r="Q288" s="394" t="s">
        <v>318</v>
      </c>
      <c r="R288" s="277" t="s">
        <v>381</v>
      </c>
      <c r="S288" s="398"/>
    </row>
    <row r="289" spans="1:19" ht="17.45" customHeight="1">
      <c r="A289" s="269"/>
      <c r="B289" s="466"/>
      <c r="C289" s="380" t="s">
        <v>283</v>
      </c>
      <c r="D289" s="487">
        <v>3800</v>
      </c>
      <c r="E289" s="487">
        <f t="shared" si="33"/>
        <v>3800</v>
      </c>
      <c r="F289" s="382"/>
      <c r="G289" s="491">
        <f t="shared" si="34"/>
        <v>0</v>
      </c>
      <c r="H289" s="490">
        <f t="shared" si="35"/>
        <v>0</v>
      </c>
      <c r="I289" s="383" t="s">
        <v>417</v>
      </c>
      <c r="J289" s="130">
        <v>1900000</v>
      </c>
      <c r="K289" s="390" t="s">
        <v>318</v>
      </c>
      <c r="L289" s="391" t="s">
        <v>334</v>
      </c>
      <c r="M289" s="392">
        <v>2</v>
      </c>
      <c r="N289" s="392" t="s">
        <v>332</v>
      </c>
      <c r="O289" s="393" t="s">
        <v>336</v>
      </c>
      <c r="P289" s="130">
        <f t="shared" si="27"/>
        <v>3800000</v>
      </c>
      <c r="Q289" s="394" t="s">
        <v>318</v>
      </c>
      <c r="R289" s="277" t="s">
        <v>459</v>
      </c>
      <c r="S289" s="398"/>
    </row>
    <row r="290" spans="1:19" ht="17.45" customHeight="1">
      <c r="A290" s="269"/>
      <c r="B290" s="466"/>
      <c r="C290" s="380" t="s">
        <v>257</v>
      </c>
      <c r="D290" s="487">
        <v>600</v>
      </c>
      <c r="E290" s="487">
        <f t="shared" si="33"/>
        <v>600</v>
      </c>
      <c r="F290" s="403"/>
      <c r="G290" s="491">
        <f t="shared" si="34"/>
        <v>0</v>
      </c>
      <c r="H290" s="490">
        <f t="shared" si="35"/>
        <v>0</v>
      </c>
      <c r="I290" s="383" t="s">
        <v>85</v>
      </c>
      <c r="J290" s="130">
        <v>600000</v>
      </c>
      <c r="K290" s="390" t="s">
        <v>318</v>
      </c>
      <c r="L290" s="391" t="s">
        <v>334</v>
      </c>
      <c r="M290" s="392">
        <v>1</v>
      </c>
      <c r="N290" s="392" t="s">
        <v>332</v>
      </c>
      <c r="O290" s="393" t="s">
        <v>336</v>
      </c>
      <c r="P290" s="130">
        <f t="shared" si="27"/>
        <v>600000</v>
      </c>
      <c r="Q290" s="394" t="s">
        <v>318</v>
      </c>
      <c r="R290" s="277"/>
      <c r="S290" s="398"/>
    </row>
    <row r="291" spans="1:19" ht="17.45" customHeight="1">
      <c r="A291" s="269"/>
      <c r="B291" s="466"/>
      <c r="C291" s="389" t="s">
        <v>210</v>
      </c>
      <c r="D291" s="487">
        <v>0</v>
      </c>
      <c r="E291" s="487">
        <f>P291/1000</f>
        <v>0</v>
      </c>
      <c r="F291" s="382"/>
      <c r="G291" s="491">
        <f>+E291-D291</f>
        <v>0</v>
      </c>
      <c r="H291" s="490">
        <v>0</v>
      </c>
      <c r="I291" s="383" t="s">
        <v>85</v>
      </c>
      <c r="J291" s="130">
        <v>0</v>
      </c>
      <c r="K291" s="390" t="s">
        <v>318</v>
      </c>
      <c r="L291" s="391" t="s">
        <v>334</v>
      </c>
      <c r="M291" s="392">
        <v>1</v>
      </c>
      <c r="N291" s="392" t="s">
        <v>332</v>
      </c>
      <c r="O291" s="393" t="s">
        <v>336</v>
      </c>
      <c r="P291" s="130">
        <f t="shared" si="27"/>
        <v>0</v>
      </c>
      <c r="Q291" s="394" t="s">
        <v>318</v>
      </c>
      <c r="R291" s="277" t="s">
        <v>520</v>
      </c>
      <c r="S291" s="398"/>
    </row>
    <row r="292" spans="1:19" ht="17.45" customHeight="1">
      <c r="A292" s="331"/>
      <c r="B292" s="469"/>
      <c r="C292" s="380" t="s">
        <v>159</v>
      </c>
      <c r="D292" s="487">
        <v>10000</v>
      </c>
      <c r="E292" s="487">
        <f t="shared" si="33"/>
        <v>10000</v>
      </c>
      <c r="F292" s="382"/>
      <c r="G292" s="491">
        <f t="shared" si="34"/>
        <v>0</v>
      </c>
      <c r="H292" s="490">
        <f t="shared" si="35"/>
        <v>0</v>
      </c>
      <c r="I292" s="383" t="s">
        <v>85</v>
      </c>
      <c r="J292" s="130">
        <v>5000000</v>
      </c>
      <c r="K292" s="390" t="s">
        <v>318</v>
      </c>
      <c r="L292" s="391" t="s">
        <v>334</v>
      </c>
      <c r="M292" s="392">
        <v>2</v>
      </c>
      <c r="N292" s="392" t="s">
        <v>332</v>
      </c>
      <c r="O292" s="393" t="s">
        <v>336</v>
      </c>
      <c r="P292" s="130">
        <f t="shared" si="27"/>
        <v>10000000</v>
      </c>
      <c r="Q292" s="394" t="s">
        <v>318</v>
      </c>
      <c r="R292" s="417" t="s">
        <v>66</v>
      </c>
    </row>
    <row r="293" spans="1:19" ht="17.45" customHeight="1">
      <c r="A293" s="331"/>
      <c r="B293" s="469"/>
      <c r="C293" s="389" t="s">
        <v>272</v>
      </c>
      <c r="D293" s="487">
        <v>110000</v>
      </c>
      <c r="E293" s="487">
        <f t="shared" si="33"/>
        <v>110000</v>
      </c>
      <c r="F293" s="382"/>
      <c r="G293" s="491">
        <f t="shared" si="34"/>
        <v>0</v>
      </c>
      <c r="H293" s="490">
        <f t="shared" si="35"/>
        <v>0</v>
      </c>
      <c r="I293" s="410" t="s">
        <v>164</v>
      </c>
      <c r="J293" s="129">
        <v>110000000</v>
      </c>
      <c r="K293" s="411" t="s">
        <v>318</v>
      </c>
      <c r="L293" s="412" t="s">
        <v>334</v>
      </c>
      <c r="M293" s="413">
        <v>1</v>
      </c>
      <c r="N293" s="413" t="s">
        <v>332</v>
      </c>
      <c r="O293" s="414" t="s">
        <v>336</v>
      </c>
      <c r="P293" s="129">
        <f t="shared" si="27"/>
        <v>110000000</v>
      </c>
      <c r="Q293" s="399" t="s">
        <v>318</v>
      </c>
      <c r="R293" s="277"/>
      <c r="S293" s="398"/>
    </row>
    <row r="294" spans="1:19" ht="20.100000000000001" customHeight="1">
      <c r="A294" s="162" t="s">
        <v>346</v>
      </c>
      <c r="B294" s="587" t="s">
        <v>330</v>
      </c>
      <c r="C294" s="730"/>
      <c r="D294" s="292">
        <f>+D295</f>
        <v>35000</v>
      </c>
      <c r="E294" s="292">
        <f>+E295</f>
        <v>35000</v>
      </c>
      <c r="F294" s="293"/>
      <c r="G294" s="294">
        <f>+E294-D294</f>
        <v>0</v>
      </c>
      <c r="H294" s="375">
        <f>+G294/D294*100</f>
        <v>0</v>
      </c>
      <c r="I294" s="499"/>
      <c r="J294" s="123"/>
      <c r="K294" s="67"/>
      <c r="L294" s="68"/>
      <c r="M294" s="461"/>
      <c r="N294" s="461"/>
      <c r="O294" s="213"/>
      <c r="P294" s="299">
        <f>P295</f>
        <v>35000000</v>
      </c>
      <c r="Q294" s="218" t="s">
        <v>318</v>
      </c>
      <c r="R294" s="277"/>
    </row>
    <row r="295" spans="1:19" ht="15.95" customHeight="1">
      <c r="A295" s="119"/>
      <c r="B295" s="290" t="s">
        <v>346</v>
      </c>
      <c r="C295" s="692" t="s">
        <v>346</v>
      </c>
      <c r="D295" s="640">
        <v>35000</v>
      </c>
      <c r="E295" s="642">
        <f>+P295/1000</f>
        <v>35000</v>
      </c>
      <c r="F295" s="473"/>
      <c r="G295" s="670">
        <f>+E295-D295</f>
        <v>0</v>
      </c>
      <c r="H295" s="675">
        <f>+G295/D295*100</f>
        <v>0</v>
      </c>
      <c r="I295" s="498"/>
      <c r="J295" s="57"/>
      <c r="K295" s="67"/>
      <c r="L295" s="68"/>
      <c r="M295" s="564" t="s">
        <v>355</v>
      </c>
      <c r="N295" s="564"/>
      <c r="O295" s="564"/>
      <c r="P295" s="123">
        <f>SUM(P296:P296)</f>
        <v>35000000</v>
      </c>
      <c r="Q295" s="53" t="s">
        <v>318</v>
      </c>
      <c r="R295" s="277"/>
    </row>
    <row r="296" spans="1:19" ht="15.95" customHeight="1">
      <c r="A296" s="119"/>
      <c r="B296" s="463"/>
      <c r="C296" s="693"/>
      <c r="D296" s="641"/>
      <c r="E296" s="643"/>
      <c r="F296" s="475"/>
      <c r="G296" s="671"/>
      <c r="H296" s="676"/>
      <c r="I296" s="281" t="s">
        <v>265</v>
      </c>
      <c r="J296" s="65">
        <v>17500000</v>
      </c>
      <c r="K296" s="77" t="s">
        <v>318</v>
      </c>
      <c r="L296" s="78" t="s">
        <v>334</v>
      </c>
      <c r="M296" s="486">
        <v>2</v>
      </c>
      <c r="N296" s="486" t="s">
        <v>332</v>
      </c>
      <c r="O296" s="64" t="s">
        <v>336</v>
      </c>
      <c r="P296" s="142">
        <f>+J296*M296</f>
        <v>35000000</v>
      </c>
      <c r="Q296" s="66" t="s">
        <v>318</v>
      </c>
      <c r="R296" s="277" t="s">
        <v>502</v>
      </c>
    </row>
    <row r="297" spans="1:19" ht="21.75" customHeight="1">
      <c r="A297" s="376" t="s">
        <v>344</v>
      </c>
      <c r="B297" s="587" t="s">
        <v>330</v>
      </c>
      <c r="C297" s="604"/>
      <c r="D297" s="418">
        <f>SUM(D298:D308)</f>
        <v>3977052</v>
      </c>
      <c r="E297" s="419">
        <f>P297/1000</f>
        <v>4065768.0249999999</v>
      </c>
      <c r="F297" s="420">
        <f>SUM(F299:F301)</f>
        <v>0</v>
      </c>
      <c r="G297" s="421">
        <f t="shared" si="34"/>
        <v>88716.024999999907</v>
      </c>
      <c r="H297" s="422">
        <f>+G297/D297*100</f>
        <v>2.2306981402305004</v>
      </c>
      <c r="I297" s="499"/>
      <c r="J297" s="123"/>
      <c r="K297" s="67"/>
      <c r="L297" s="461"/>
      <c r="M297" s="461" t="s">
        <v>355</v>
      </c>
      <c r="N297" s="461"/>
      <c r="O297" s="461"/>
      <c r="P297" s="123">
        <f>SUM(P298,P302,P306)</f>
        <v>4065768025</v>
      </c>
      <c r="Q297" s="53" t="s">
        <v>318</v>
      </c>
      <c r="R297" s="277"/>
      <c r="S297" s="398"/>
    </row>
    <row r="298" spans="1:19" ht="18.75" hidden="1" customHeight="1">
      <c r="A298" s="352" t="s">
        <v>223</v>
      </c>
      <c r="B298" s="762" t="s">
        <v>311</v>
      </c>
      <c r="C298" s="711" t="s">
        <v>344</v>
      </c>
      <c r="D298" s="715">
        <v>0</v>
      </c>
      <c r="E298" s="718">
        <f>(P298/1000)-1</f>
        <v>-1</v>
      </c>
      <c r="F298" s="423"/>
      <c r="G298" s="670">
        <f>E298-D298</f>
        <v>-1</v>
      </c>
      <c r="H298" s="675" t="e">
        <f>G298/D298*100</f>
        <v>#DIV/0!</v>
      </c>
      <c r="I298" s="498"/>
      <c r="J298" s="123"/>
      <c r="K298" s="67"/>
      <c r="L298" s="461"/>
      <c r="M298" s="461"/>
      <c r="N298" s="461"/>
      <c r="O298" s="461"/>
      <c r="P298" s="123">
        <f>SUM(P299:P301)</f>
        <v>0</v>
      </c>
      <c r="Q298" s="53" t="s">
        <v>318</v>
      </c>
      <c r="R298" s="277"/>
    </row>
    <row r="299" spans="1:19" ht="16.5" hidden="1" customHeight="1">
      <c r="A299" s="269"/>
      <c r="B299" s="763"/>
      <c r="C299" s="712"/>
      <c r="D299" s="716"/>
      <c r="E299" s="719"/>
      <c r="F299" s="423"/>
      <c r="G299" s="671"/>
      <c r="H299" s="676"/>
      <c r="I299" s="424" t="s">
        <v>477</v>
      </c>
      <c r="J299" s="130">
        <v>0</v>
      </c>
      <c r="K299" s="77" t="s">
        <v>318</v>
      </c>
      <c r="L299" s="78" t="s">
        <v>334</v>
      </c>
      <c r="M299" s="486">
        <v>1</v>
      </c>
      <c r="N299" s="486" t="s">
        <v>332</v>
      </c>
      <c r="O299" s="64" t="s">
        <v>336</v>
      </c>
      <c r="P299" s="130">
        <f>+J299*M299</f>
        <v>0</v>
      </c>
      <c r="Q299" s="66" t="s">
        <v>318</v>
      </c>
      <c r="R299" s="277"/>
    </row>
    <row r="300" spans="1:19" ht="16.5" hidden="1" customHeight="1">
      <c r="A300" s="269"/>
      <c r="B300" s="763"/>
      <c r="C300" s="712"/>
      <c r="D300" s="716"/>
      <c r="E300" s="719"/>
      <c r="F300" s="425"/>
      <c r="G300" s="671"/>
      <c r="H300" s="676"/>
      <c r="I300" s="426" t="s">
        <v>137</v>
      </c>
      <c r="J300" s="130">
        <v>0</v>
      </c>
      <c r="K300" s="77" t="s">
        <v>318</v>
      </c>
      <c r="L300" s="78" t="s">
        <v>334</v>
      </c>
      <c r="M300" s="486">
        <v>1</v>
      </c>
      <c r="N300" s="486" t="s">
        <v>332</v>
      </c>
      <c r="O300" s="64" t="s">
        <v>336</v>
      </c>
      <c r="P300" s="130">
        <f>+J300*M300</f>
        <v>0</v>
      </c>
      <c r="Q300" s="66" t="s">
        <v>318</v>
      </c>
      <c r="R300" s="277"/>
    </row>
    <row r="301" spans="1:19" ht="16.5" hidden="1" customHeight="1">
      <c r="A301" s="269"/>
      <c r="B301" s="763"/>
      <c r="C301" s="714"/>
      <c r="D301" s="717"/>
      <c r="E301" s="761"/>
      <c r="F301" s="334"/>
      <c r="G301" s="678"/>
      <c r="H301" s="677"/>
      <c r="I301" s="427" t="s">
        <v>132</v>
      </c>
      <c r="J301" s="428">
        <v>0</v>
      </c>
      <c r="K301" s="71" t="s">
        <v>318</v>
      </c>
      <c r="L301" s="72" t="s">
        <v>334</v>
      </c>
      <c r="M301" s="73">
        <v>1</v>
      </c>
      <c r="N301" s="73" t="s">
        <v>332</v>
      </c>
      <c r="O301" s="74" t="s">
        <v>336</v>
      </c>
      <c r="P301" s="129">
        <f>+J301*M301</f>
        <v>0</v>
      </c>
      <c r="Q301" s="75" t="s">
        <v>318</v>
      </c>
      <c r="R301" s="277"/>
    </row>
    <row r="302" spans="1:19" ht="18.75" customHeight="1">
      <c r="A302" s="352"/>
      <c r="B302" s="763"/>
      <c r="C302" s="711" t="s">
        <v>189</v>
      </c>
      <c r="D302" s="715">
        <v>3962861</v>
      </c>
      <c r="E302" s="718">
        <f>P302/1000</f>
        <v>4051577.148</v>
      </c>
      <c r="F302" s="423"/>
      <c r="G302" s="670">
        <f>E302-D302</f>
        <v>88716.148000000045</v>
      </c>
      <c r="H302" s="675">
        <f>G302/D302*100</f>
        <v>2.2386893711386811</v>
      </c>
      <c r="I302" s="498"/>
      <c r="J302" s="123"/>
      <c r="K302" s="67"/>
      <c r="L302" s="461"/>
      <c r="M302" s="461"/>
      <c r="N302" s="461"/>
      <c r="O302" s="461"/>
      <c r="P302" s="123">
        <f>SUM(P303:P305)</f>
        <v>4051577148</v>
      </c>
      <c r="Q302" s="53" t="s">
        <v>318</v>
      </c>
      <c r="R302" s="277"/>
    </row>
    <row r="303" spans="1:19" ht="16.5" customHeight="1">
      <c r="A303" s="269"/>
      <c r="B303" s="763"/>
      <c r="C303" s="712"/>
      <c r="D303" s="716"/>
      <c r="E303" s="719"/>
      <c r="F303" s="423"/>
      <c r="G303" s="671"/>
      <c r="H303" s="676"/>
      <c r="I303" s="424" t="s">
        <v>388</v>
      </c>
      <c r="J303" s="40">
        <v>1755380763</v>
      </c>
      <c r="K303" s="41" t="s">
        <v>318</v>
      </c>
      <c r="L303" s="42" t="s">
        <v>334</v>
      </c>
      <c r="M303" s="43">
        <v>1</v>
      </c>
      <c r="N303" s="43" t="s">
        <v>332</v>
      </c>
      <c r="O303" s="44" t="s">
        <v>336</v>
      </c>
      <c r="P303" s="40">
        <f>+J303*M303</f>
        <v>1755380763</v>
      </c>
      <c r="Q303" s="45" t="s">
        <v>318</v>
      </c>
      <c r="R303" s="277"/>
    </row>
    <row r="304" spans="1:19" ht="16.5" customHeight="1">
      <c r="A304" s="269"/>
      <c r="B304" s="763"/>
      <c r="C304" s="712"/>
      <c r="D304" s="716"/>
      <c r="E304" s="719"/>
      <c r="F304" s="425"/>
      <c r="G304" s="671"/>
      <c r="H304" s="676"/>
      <c r="I304" s="426" t="s">
        <v>483</v>
      </c>
      <c r="J304" s="130">
        <v>866412840</v>
      </c>
      <c r="K304" s="77" t="s">
        <v>318</v>
      </c>
      <c r="L304" s="78" t="s">
        <v>334</v>
      </c>
      <c r="M304" s="486">
        <v>1</v>
      </c>
      <c r="N304" s="486" t="s">
        <v>332</v>
      </c>
      <c r="O304" s="64" t="s">
        <v>336</v>
      </c>
      <c r="P304" s="130">
        <f>+J304*M304</f>
        <v>866412840</v>
      </c>
      <c r="Q304" s="66" t="s">
        <v>318</v>
      </c>
      <c r="R304" s="277"/>
    </row>
    <row r="305" spans="1:18" ht="16.5" customHeight="1">
      <c r="A305" s="269"/>
      <c r="B305" s="763"/>
      <c r="C305" s="714"/>
      <c r="D305" s="717"/>
      <c r="E305" s="761"/>
      <c r="F305" s="334"/>
      <c r="G305" s="678"/>
      <c r="H305" s="677"/>
      <c r="I305" s="427" t="s">
        <v>189</v>
      </c>
      <c r="J305" s="509">
        <v>1429783545</v>
      </c>
      <c r="K305" s="24" t="s">
        <v>318</v>
      </c>
      <c r="L305" s="25" t="s">
        <v>334</v>
      </c>
      <c r="M305" s="26">
        <v>1</v>
      </c>
      <c r="N305" s="26" t="s">
        <v>332</v>
      </c>
      <c r="O305" s="27" t="s">
        <v>336</v>
      </c>
      <c r="P305" s="31">
        <f>+J305*M305</f>
        <v>1429783545</v>
      </c>
      <c r="Q305" s="28" t="s">
        <v>318</v>
      </c>
      <c r="R305" s="277"/>
    </row>
    <row r="306" spans="1:18" ht="16.5" customHeight="1">
      <c r="A306" s="269"/>
      <c r="B306" s="763"/>
      <c r="C306" s="711" t="s">
        <v>358</v>
      </c>
      <c r="D306" s="718">
        <v>14191</v>
      </c>
      <c r="E306" s="640">
        <f>P306/1000</f>
        <v>14190.877</v>
      </c>
      <c r="F306" s="429"/>
      <c r="G306" s="670">
        <f>E306-D306</f>
        <v>-0.12299999999959255</v>
      </c>
      <c r="H306" s="675">
        <f>G306/D306*100</f>
        <v>-8.6674652948765093E-4</v>
      </c>
      <c r="I306" s="498"/>
      <c r="J306" s="57"/>
      <c r="K306" s="67"/>
      <c r="L306" s="68"/>
      <c r="M306" s="461" t="s">
        <v>355</v>
      </c>
      <c r="N306" s="461"/>
      <c r="O306" s="461"/>
      <c r="P306" s="123">
        <f>SUM(P307:P308)</f>
        <v>14190877</v>
      </c>
      <c r="Q306" s="53" t="s">
        <v>318</v>
      </c>
      <c r="R306" s="430"/>
    </row>
    <row r="307" spans="1:18" ht="16.5" customHeight="1">
      <c r="A307" s="269"/>
      <c r="B307" s="763"/>
      <c r="C307" s="712"/>
      <c r="D307" s="719"/>
      <c r="E307" s="641"/>
      <c r="F307" s="431"/>
      <c r="G307" s="671"/>
      <c r="H307" s="676"/>
      <c r="I307" s="284" t="s">
        <v>27</v>
      </c>
      <c r="J307" s="65">
        <v>3451813.5</v>
      </c>
      <c r="K307" s="77" t="s">
        <v>318</v>
      </c>
      <c r="L307" s="78" t="s">
        <v>334</v>
      </c>
      <c r="M307" s="486">
        <v>2</v>
      </c>
      <c r="N307" s="486" t="s">
        <v>332</v>
      </c>
      <c r="O307" s="64" t="s">
        <v>336</v>
      </c>
      <c r="P307" s="142">
        <f>+J307*M307</f>
        <v>6903627</v>
      </c>
      <c r="Q307" s="66" t="s">
        <v>318</v>
      </c>
      <c r="R307" s="432" t="s">
        <v>399</v>
      </c>
    </row>
    <row r="308" spans="1:18" ht="16.5" customHeight="1">
      <c r="A308" s="433"/>
      <c r="B308" s="764"/>
      <c r="C308" s="713"/>
      <c r="D308" s="720"/>
      <c r="E308" s="759"/>
      <c r="F308" s="434"/>
      <c r="G308" s="754"/>
      <c r="H308" s="760"/>
      <c r="I308" s="435" t="s">
        <v>487</v>
      </c>
      <c r="J308" s="436">
        <v>7287250</v>
      </c>
      <c r="K308" s="437" t="s">
        <v>318</v>
      </c>
      <c r="L308" s="226" t="s">
        <v>334</v>
      </c>
      <c r="M308" s="225">
        <v>1</v>
      </c>
      <c r="N308" s="225" t="s">
        <v>332</v>
      </c>
      <c r="O308" s="227" t="s">
        <v>336</v>
      </c>
      <c r="P308" s="438">
        <f>+J308*M308</f>
        <v>7287250</v>
      </c>
      <c r="Q308" s="228" t="s">
        <v>318</v>
      </c>
      <c r="R308" s="432" t="s">
        <v>67</v>
      </c>
    </row>
    <row r="309" spans="1:18" ht="16.5" customHeight="1">
      <c r="A309" s="439"/>
      <c r="B309" s="440"/>
      <c r="C309" s="441"/>
      <c r="D309" s="442"/>
      <c r="E309" s="443"/>
      <c r="F309" s="444"/>
      <c r="G309" s="445"/>
      <c r="H309" s="446"/>
      <c r="I309" s="313"/>
      <c r="J309" s="65"/>
      <c r="K309" s="77"/>
      <c r="L309" s="78"/>
      <c r="M309" s="63"/>
      <c r="N309" s="63"/>
      <c r="O309" s="64"/>
      <c r="P309" s="142"/>
      <c r="Q309" s="77"/>
      <c r="R309" s="130"/>
    </row>
    <row r="310" spans="1:18">
      <c r="A310" s="439"/>
      <c r="B310" s="447"/>
      <c r="C310" s="447"/>
      <c r="D310" s="443"/>
      <c r="E310" s="439"/>
      <c r="G310" s="445"/>
      <c r="H310" s="448"/>
      <c r="I310" s="449"/>
      <c r="J310" s="130"/>
      <c r="K310" s="77"/>
      <c r="L310" s="63"/>
      <c r="M310" s="63"/>
      <c r="N310" s="63"/>
      <c r="O310" s="63"/>
      <c r="P310" s="130"/>
      <c r="Q310" s="77"/>
    </row>
    <row r="311" spans="1:18">
      <c r="A311" s="439"/>
      <c r="B311" s="447"/>
      <c r="C311" s="447"/>
      <c r="D311" s="443"/>
      <c r="E311" s="439"/>
      <c r="G311" s="445"/>
      <c r="H311" s="448"/>
      <c r="I311" s="450"/>
      <c r="J311" s="130"/>
      <c r="K311" s="77"/>
      <c r="L311" s="63"/>
      <c r="M311" s="63"/>
      <c r="N311" s="63"/>
      <c r="O311" s="63"/>
      <c r="P311" s="130"/>
      <c r="Q311" s="77"/>
    </row>
    <row r="312" spans="1:18" ht="9.75" customHeight="1">
      <c r="A312" s="439"/>
      <c r="G312" s="445"/>
      <c r="H312" s="448"/>
      <c r="I312" s="286"/>
    </row>
    <row r="313" spans="1:18" ht="21.75" customHeight="1">
      <c r="G313" s="445"/>
      <c r="H313" s="448"/>
      <c r="I313" s="286"/>
    </row>
    <row r="315" spans="1:18">
      <c r="I315" s="451"/>
    </row>
    <row r="316" spans="1:18">
      <c r="I316" s="451"/>
    </row>
  </sheetData>
  <mergeCells count="370">
    <mergeCell ref="E306:E308"/>
    <mergeCell ref="H306:H308"/>
    <mergeCell ref="H171:H175"/>
    <mergeCell ref="G176:G177"/>
    <mergeCell ref="E302:E305"/>
    <mergeCell ref="G302:G305"/>
    <mergeCell ref="H302:H305"/>
    <mergeCell ref="B298:B308"/>
    <mergeCell ref="E192:E194"/>
    <mergeCell ref="E181:E183"/>
    <mergeCell ref="F196:F197"/>
    <mergeCell ref="F176:F177"/>
    <mergeCell ref="F181:F183"/>
    <mergeCell ref="F192:F194"/>
    <mergeCell ref="F179:F180"/>
    <mergeCell ref="C196:C198"/>
    <mergeCell ref="H196:H198"/>
    <mergeCell ref="F185:F190"/>
    <mergeCell ref="F171:F172"/>
    <mergeCell ref="E298:E301"/>
    <mergeCell ref="C295:C296"/>
    <mergeCell ref="E196:E198"/>
    <mergeCell ref="D179:D180"/>
    <mergeCell ref="D196:D198"/>
    <mergeCell ref="G306:G308"/>
    <mergeCell ref="H298:H301"/>
    <mergeCell ref="G298:G301"/>
    <mergeCell ref="G166:G169"/>
    <mergeCell ref="H185:H191"/>
    <mergeCell ref="H181:H183"/>
    <mergeCell ref="G171:G175"/>
    <mergeCell ref="H100:H101"/>
    <mergeCell ref="H192:H194"/>
    <mergeCell ref="G179:G180"/>
    <mergeCell ref="G185:G191"/>
    <mergeCell ref="G181:G183"/>
    <mergeCell ref="H179:H180"/>
    <mergeCell ref="G295:G296"/>
    <mergeCell ref="H295:H296"/>
    <mergeCell ref="G196:G198"/>
    <mergeCell ref="H176:H177"/>
    <mergeCell ref="G192:G194"/>
    <mergeCell ref="H123:H126"/>
    <mergeCell ref="G123:G126"/>
    <mergeCell ref="F141:F145"/>
    <mergeCell ref="G162:G164"/>
    <mergeCell ref="F121:F122"/>
    <mergeCell ref="F109:F110"/>
    <mergeCell ref="F162:F164"/>
    <mergeCell ref="G112:G113"/>
    <mergeCell ref="H112:H113"/>
    <mergeCell ref="G116:G120"/>
    <mergeCell ref="H116:H120"/>
    <mergeCell ref="F127:F128"/>
    <mergeCell ref="G109:G110"/>
    <mergeCell ref="G114:G115"/>
    <mergeCell ref="H114:H115"/>
    <mergeCell ref="H141:H145"/>
    <mergeCell ref="A1:B1"/>
    <mergeCell ref="D176:D177"/>
    <mergeCell ref="A2:B2"/>
    <mergeCell ref="A3:A4"/>
    <mergeCell ref="B6:C6"/>
    <mergeCell ref="C107:C108"/>
    <mergeCell ref="D121:D122"/>
    <mergeCell ref="D40:D42"/>
    <mergeCell ref="C29:C34"/>
    <mergeCell ref="D83:D84"/>
    <mergeCell ref="C97:C98"/>
    <mergeCell ref="C50:C51"/>
    <mergeCell ref="C43:C48"/>
    <mergeCell ref="C93:C96"/>
    <mergeCell ref="C83:C84"/>
    <mergeCell ref="C91:C92"/>
    <mergeCell ref="C23:C28"/>
    <mergeCell ref="C13:C20"/>
    <mergeCell ref="C40:C42"/>
    <mergeCell ref="C104:C106"/>
    <mergeCell ref="D166:D169"/>
    <mergeCell ref="D104:D106"/>
    <mergeCell ref="C36:C39"/>
    <mergeCell ref="C75:C77"/>
    <mergeCell ref="G3:H3"/>
    <mergeCell ref="F3:F4"/>
    <mergeCell ref="M13:O13"/>
    <mergeCell ref="H97:H98"/>
    <mergeCell ref="F132:F138"/>
    <mergeCell ref="M100:O100"/>
    <mergeCell ref="G100:G101"/>
    <mergeCell ref="H102:H103"/>
    <mergeCell ref="H109:H110"/>
    <mergeCell ref="F104:F105"/>
    <mergeCell ref="M102:O102"/>
    <mergeCell ref="G107:G108"/>
    <mergeCell ref="H107:H108"/>
    <mergeCell ref="M104:O104"/>
    <mergeCell ref="G104:G106"/>
    <mergeCell ref="M114:O114"/>
    <mergeCell ref="F114:F115"/>
    <mergeCell ref="F100:F101"/>
    <mergeCell ref="G83:G84"/>
    <mergeCell ref="G79:G80"/>
    <mergeCell ref="F102:F103"/>
    <mergeCell ref="G102:G103"/>
    <mergeCell ref="H104:H106"/>
    <mergeCell ref="G97:G98"/>
    <mergeCell ref="O2:Q2"/>
    <mergeCell ref="M111:O111"/>
    <mergeCell ref="M132:O132"/>
    <mergeCell ref="M146:O146"/>
    <mergeCell ref="M127:O127"/>
    <mergeCell ref="M141:O141"/>
    <mergeCell ref="M121:O121"/>
    <mergeCell ref="M97:O97"/>
    <mergeCell ref="M91:O91"/>
    <mergeCell ref="M109:O109"/>
    <mergeCell ref="M93:O93"/>
    <mergeCell ref="M99:O99"/>
    <mergeCell ref="M107:O107"/>
    <mergeCell ref="M112:O112"/>
    <mergeCell ref="M116:O116"/>
    <mergeCell ref="I3:Q4"/>
    <mergeCell ref="E162:E164"/>
    <mergeCell ref="D149:D152"/>
    <mergeCell ref="D160:D161"/>
    <mergeCell ref="E160:E161"/>
    <mergeCell ref="D146:D147"/>
    <mergeCell ref="E141:E145"/>
    <mergeCell ref="C146:C147"/>
    <mergeCell ref="E121:E122"/>
    <mergeCell ref="C160:C161"/>
    <mergeCell ref="C132:C140"/>
    <mergeCell ref="E123:E126"/>
    <mergeCell ref="C123:C126"/>
    <mergeCell ref="D123:D126"/>
    <mergeCell ref="M185:O185"/>
    <mergeCell ref="M295:O295"/>
    <mergeCell ref="M181:O181"/>
    <mergeCell ref="M192:O192"/>
    <mergeCell ref="M196:O196"/>
    <mergeCell ref="M160:O160"/>
    <mergeCell ref="M149:O149"/>
    <mergeCell ref="M171:O171"/>
    <mergeCell ref="M179:O179"/>
    <mergeCell ref="E116:E120"/>
    <mergeCell ref="D109:D110"/>
    <mergeCell ref="E93:E96"/>
    <mergeCell ref="E100:E101"/>
    <mergeCell ref="C116:C120"/>
    <mergeCell ref="B294:C294"/>
    <mergeCell ref="E153:E156"/>
    <mergeCell ref="M176:O176"/>
    <mergeCell ref="G160:G161"/>
    <mergeCell ref="G121:G122"/>
    <mergeCell ref="G132:G140"/>
    <mergeCell ref="H132:H140"/>
    <mergeCell ref="G141:G145"/>
    <mergeCell ref="G146:G147"/>
    <mergeCell ref="H121:H122"/>
    <mergeCell ref="H127:H130"/>
    <mergeCell ref="G127:G130"/>
    <mergeCell ref="H162:H164"/>
    <mergeCell ref="H157:H158"/>
    <mergeCell ref="H166:H169"/>
    <mergeCell ref="M162:O162"/>
    <mergeCell ref="G153:G156"/>
    <mergeCell ref="H153:H156"/>
    <mergeCell ref="I196:J196"/>
    <mergeCell ref="E107:E108"/>
    <mergeCell ref="E109:E110"/>
    <mergeCell ref="D112:D113"/>
    <mergeCell ref="E114:E115"/>
    <mergeCell ref="C102:C103"/>
    <mergeCell ref="C109:C110"/>
    <mergeCell ref="C114:C115"/>
    <mergeCell ref="E79:E80"/>
    <mergeCell ref="D79:D80"/>
    <mergeCell ref="E112:E113"/>
    <mergeCell ref="D114:D115"/>
    <mergeCell ref="D107:D108"/>
    <mergeCell ref="E171:E175"/>
    <mergeCell ref="E185:E191"/>
    <mergeCell ref="E87:E90"/>
    <mergeCell ref="E149:E152"/>
    <mergeCell ref="D127:D130"/>
    <mergeCell ref="C153:C156"/>
    <mergeCell ref="C162:C164"/>
    <mergeCell ref="D185:D191"/>
    <mergeCell ref="C149:C152"/>
    <mergeCell ref="C157:C158"/>
    <mergeCell ref="D157:D158"/>
    <mergeCell ref="D162:D164"/>
    <mergeCell ref="E146:E147"/>
    <mergeCell ref="E176:E177"/>
    <mergeCell ref="D132:D140"/>
    <mergeCell ref="E179:E180"/>
    <mergeCell ref="C166:C169"/>
    <mergeCell ref="C171:C175"/>
    <mergeCell ref="E132:E140"/>
    <mergeCell ref="C141:C145"/>
    <mergeCell ref="C127:C130"/>
    <mergeCell ref="C121:C122"/>
    <mergeCell ref="E102:E103"/>
    <mergeCell ref="E104:E106"/>
    <mergeCell ref="D171:D175"/>
    <mergeCell ref="D81:D82"/>
    <mergeCell ref="D91:D92"/>
    <mergeCell ref="D97:D98"/>
    <mergeCell ref="B78:C78"/>
    <mergeCell ref="C302:C305"/>
    <mergeCell ref="D116:D120"/>
    <mergeCell ref="C185:C191"/>
    <mergeCell ref="C179:C180"/>
    <mergeCell ref="D141:D145"/>
    <mergeCell ref="D302:D305"/>
    <mergeCell ref="C306:C308"/>
    <mergeCell ref="C298:C301"/>
    <mergeCell ref="B199:C199"/>
    <mergeCell ref="D298:D301"/>
    <mergeCell ref="B297:C297"/>
    <mergeCell ref="D306:D308"/>
    <mergeCell ref="C176:C177"/>
    <mergeCell ref="D181:D183"/>
    <mergeCell ref="C181:C183"/>
    <mergeCell ref="D192:D194"/>
    <mergeCell ref="C192:C194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D13:D20"/>
    <mergeCell ref="C59:C62"/>
    <mergeCell ref="C63:C67"/>
    <mergeCell ref="C112:C113"/>
    <mergeCell ref="E29:E34"/>
    <mergeCell ref="F59:F62"/>
    <mergeCell ref="C79:C80"/>
    <mergeCell ref="C52:C58"/>
    <mergeCell ref="C87:C90"/>
    <mergeCell ref="D87:D90"/>
    <mergeCell ref="E97:E98"/>
    <mergeCell ref="E83:E84"/>
    <mergeCell ref="E91:E92"/>
    <mergeCell ref="B85:C85"/>
    <mergeCell ref="C81:C82"/>
    <mergeCell ref="D93:D96"/>
    <mergeCell ref="C100:C101"/>
    <mergeCell ref="E81:E82"/>
    <mergeCell ref="D29:D34"/>
    <mergeCell ref="E52:E58"/>
    <mergeCell ref="D100:D101"/>
    <mergeCell ref="D102:D103"/>
    <mergeCell ref="D63:D67"/>
    <mergeCell ref="C68:C74"/>
    <mergeCell ref="D68:D74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D23:D28"/>
    <mergeCell ref="M28:N28"/>
    <mergeCell ref="H29:H34"/>
    <mergeCell ref="F50:F51"/>
    <mergeCell ref="G50:G51"/>
    <mergeCell ref="G43:G48"/>
    <mergeCell ref="F43:F48"/>
    <mergeCell ref="F52:F58"/>
    <mergeCell ref="H52:H58"/>
    <mergeCell ref="G52:G58"/>
    <mergeCell ref="H43:H48"/>
    <mergeCell ref="G29:G34"/>
    <mergeCell ref="F29:F33"/>
    <mergeCell ref="F36:F38"/>
    <mergeCell ref="H40:H42"/>
    <mergeCell ref="G40:G42"/>
    <mergeCell ref="H50:H51"/>
    <mergeCell ref="G36:G39"/>
    <mergeCell ref="H36:H39"/>
    <mergeCell ref="D52:D58"/>
    <mergeCell ref="E59:E62"/>
    <mergeCell ref="D59:D62"/>
    <mergeCell ref="G59:G62"/>
    <mergeCell ref="H75:H77"/>
    <mergeCell ref="G68:G74"/>
    <mergeCell ref="D36:D39"/>
    <mergeCell ref="E36:E39"/>
    <mergeCell ref="M68:O68"/>
    <mergeCell ref="M63:O63"/>
    <mergeCell ref="M75:O75"/>
    <mergeCell ref="F63:F67"/>
    <mergeCell ref="F75:F77"/>
    <mergeCell ref="G63:G67"/>
    <mergeCell ref="E68:E74"/>
    <mergeCell ref="E40:E42"/>
    <mergeCell ref="E43:E48"/>
    <mergeCell ref="D50:D51"/>
    <mergeCell ref="D43:D48"/>
    <mergeCell ref="E50:E51"/>
    <mergeCell ref="M59:O59"/>
    <mergeCell ref="E63:E67"/>
    <mergeCell ref="D75:D77"/>
    <mergeCell ref="E75:E77"/>
    <mergeCell ref="F91:F92"/>
    <mergeCell ref="F81:F82"/>
    <mergeCell ref="M86:O86"/>
    <mergeCell ref="M87:O87"/>
    <mergeCell ref="G93:G96"/>
    <mergeCell ref="G91:G92"/>
    <mergeCell ref="H93:H96"/>
    <mergeCell ref="H91:H92"/>
    <mergeCell ref="M36:O36"/>
    <mergeCell ref="M40:O40"/>
    <mergeCell ref="M43:O43"/>
    <mergeCell ref="M52:O52"/>
    <mergeCell ref="G81:G82"/>
    <mergeCell ref="H79:H80"/>
    <mergeCell ref="H81:H82"/>
    <mergeCell ref="F79:F80"/>
    <mergeCell ref="H68:H74"/>
    <mergeCell ref="F83:F84"/>
    <mergeCell ref="G75:G77"/>
    <mergeCell ref="H63:H67"/>
    <mergeCell ref="H59:H62"/>
    <mergeCell ref="H83:H84"/>
    <mergeCell ref="R3:R4"/>
    <mergeCell ref="D295:D296"/>
    <mergeCell ref="E295:E296"/>
    <mergeCell ref="M166:O166"/>
    <mergeCell ref="E166:E169"/>
    <mergeCell ref="E127:E130"/>
    <mergeCell ref="F157:F158"/>
    <mergeCell ref="E157:E158"/>
    <mergeCell ref="F160:F161"/>
    <mergeCell ref="H146:H147"/>
    <mergeCell ref="M157:O157"/>
    <mergeCell ref="H160:H161"/>
    <mergeCell ref="H149:H152"/>
    <mergeCell ref="G157:G158"/>
    <mergeCell ref="F166:F169"/>
    <mergeCell ref="F149:F152"/>
    <mergeCell ref="G149:G152"/>
    <mergeCell ref="M123:O123"/>
    <mergeCell ref="M153:O153"/>
    <mergeCell ref="D153:D156"/>
    <mergeCell ref="F93:F96"/>
    <mergeCell ref="H87:H90"/>
    <mergeCell ref="G87:G90"/>
    <mergeCell ref="F87:F90"/>
  </mergeCells>
  <phoneticPr fontId="9" type="noConversion"/>
  <pageMargins left="0.31496062992125984" right="0.23622047244094491" top="0.59055118110236227" bottom="0.39370078740157483" header="0.39370078740157483" footer="0.19685039370078741"/>
  <pageSetup paperSize="9" scale="90" firstPageNumber="5" fitToWidth="14" fitToHeight="14" orientation="landscape" useFirstPageNumber="1" r:id="rId1"/>
  <headerFooter>
    <oddFooter>&amp;C&amp;"맑은 고딕,Regular"&amp;P</oddFooter>
  </headerFooter>
  <rowBreaks count="11" manualBreakCount="11">
    <brk id="34" max="1048575" man="1"/>
    <brk id="67" max="16" man="1"/>
    <brk id="98" max="16" man="1"/>
    <brk id="130" max="16" man="1"/>
    <brk id="158" max="16" man="1"/>
    <brk id="183" max="16" man="1"/>
    <brk id="211" max="16" man="1"/>
    <brk id="239" max="16" man="1"/>
    <brk id="267" max="16" man="1"/>
    <brk id="293" max="16" man="1"/>
    <brk id="31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</vt:lpstr>
      <vt:lpstr>세출명세</vt:lpstr>
      <vt:lpstr>세입명세!Print_Area</vt:lpstr>
      <vt:lpstr>세출명세!Print_Area</vt:lpstr>
      <vt:lpstr>예산총칙!Print_Area</vt:lpstr>
      <vt:lpstr>세입명세!Print_Titles</vt:lpstr>
      <vt:lpstr>세출명세!Print_Titles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23</cp:revision>
  <cp:lastPrinted>2021-11-30T11:07:45Z</cp:lastPrinted>
  <dcterms:created xsi:type="dcterms:W3CDTF">2009-12-07T05:26:05Z</dcterms:created>
  <dcterms:modified xsi:type="dcterms:W3CDTF">2021-12-22T00:19:27Z</dcterms:modified>
  <cp:version>1100.0100.01</cp:version>
</cp:coreProperties>
</file>