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법인행정\2022년\공문\첨부문서\2023년 예산 제출\"/>
    </mc:Choice>
  </mc:AlternateContent>
  <xr:revisionPtr revIDLastSave="0" documentId="13_ncr:1_{26EE07A6-CC5C-4642-8715-B205E13572F6}" xr6:coauthVersionLast="36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세입명세서!$A$1:$Z$93</definedName>
    <definedName name="_xlnm.Print_Area" localSheetId="2">세출명세서!$A$1:$Q$323</definedName>
    <definedName name="_xlnm.Print_Area" localSheetId="0">예산총칙!$A$1:$P$24</definedName>
    <definedName name="_xlnm.Print_Titles" localSheetId="1">세입명세서!$4:$5</definedName>
    <definedName name="_xlnm.Print_Titles" localSheetId="2">세출명세서!$3:$4</definedName>
  </definedNames>
  <calcPr calcId="191029"/>
</workbook>
</file>

<file path=xl/calcChain.xml><?xml version="1.0" encoding="utf-8"?>
<calcChain xmlns="http://schemas.openxmlformats.org/spreadsheetml/2006/main">
  <c r="D161" i="7" l="1"/>
  <c r="P170" i="7"/>
  <c r="P169" i="7"/>
  <c r="P168" i="7"/>
  <c r="H168" i="7"/>
  <c r="P167" i="7" l="1"/>
  <c r="E167" i="7" s="1"/>
  <c r="G167" i="7" l="1"/>
  <c r="H167" i="7" s="1"/>
  <c r="P144" i="7"/>
  <c r="P166" i="7" l="1"/>
  <c r="P165" i="7"/>
  <c r="P164" i="7"/>
  <c r="P163" i="7"/>
  <c r="P70" i="7"/>
  <c r="P30" i="6"/>
  <c r="P29" i="6"/>
  <c r="P28" i="6"/>
  <c r="P162" i="7" l="1"/>
  <c r="E162" i="7"/>
  <c r="G162" i="7" s="1"/>
  <c r="H162" i="7" s="1"/>
  <c r="P73" i="7"/>
  <c r="P323" i="7"/>
  <c r="P322" i="7" s="1"/>
  <c r="E322" i="7" s="1"/>
  <c r="P321" i="7"/>
  <c r="P320" i="7"/>
  <c r="P319" i="7"/>
  <c r="P317" i="7"/>
  <c r="P316" i="7"/>
  <c r="P315" i="7"/>
  <c r="F313" i="7"/>
  <c r="D313" i="7"/>
  <c r="P312" i="7"/>
  <c r="P311" i="7"/>
  <c r="D309" i="7"/>
  <c r="P308" i="7"/>
  <c r="E308" i="7" s="1"/>
  <c r="G308" i="7" s="1"/>
  <c r="H308" i="7" s="1"/>
  <c r="P307" i="7"/>
  <c r="E307" i="7" s="1"/>
  <c r="G307" i="7" s="1"/>
  <c r="P306" i="7"/>
  <c r="E306" i="7" s="1"/>
  <c r="P305" i="7"/>
  <c r="E305" i="7" s="1"/>
  <c r="G305" i="7" s="1"/>
  <c r="H305" i="7" s="1"/>
  <c r="P304" i="7"/>
  <c r="E304" i="7" s="1"/>
  <c r="P303" i="7"/>
  <c r="E303" i="7" s="1"/>
  <c r="G303" i="7" s="1"/>
  <c r="H303" i="7" s="1"/>
  <c r="P302" i="7"/>
  <c r="E302" i="7" s="1"/>
  <c r="P301" i="7"/>
  <c r="E301" i="7" s="1"/>
  <c r="G301" i="7" s="1"/>
  <c r="H301" i="7" s="1"/>
  <c r="P300" i="7"/>
  <c r="E300" i="7" s="1"/>
  <c r="P299" i="7"/>
  <c r="E299" i="7" s="1"/>
  <c r="G299" i="7" s="1"/>
  <c r="H299" i="7" s="1"/>
  <c r="P298" i="7"/>
  <c r="E298" i="7" s="1"/>
  <c r="G298" i="7" s="1"/>
  <c r="H298" i="7" s="1"/>
  <c r="P297" i="7"/>
  <c r="E297" i="7" s="1"/>
  <c r="G297" i="7" s="1"/>
  <c r="H297" i="7" s="1"/>
  <c r="P296" i="7"/>
  <c r="E296" i="7" s="1"/>
  <c r="G296" i="7" s="1"/>
  <c r="H296" i="7" s="1"/>
  <c r="P295" i="7"/>
  <c r="E295" i="7" s="1"/>
  <c r="G295" i="7" s="1"/>
  <c r="H295" i="7" s="1"/>
  <c r="P294" i="7"/>
  <c r="E294" i="7" s="1"/>
  <c r="P293" i="7"/>
  <c r="E293" i="7" s="1"/>
  <c r="P292" i="7"/>
  <c r="E292" i="7" s="1"/>
  <c r="P291" i="7"/>
  <c r="E291" i="7" s="1"/>
  <c r="P290" i="7"/>
  <c r="E290" i="7" s="1"/>
  <c r="P289" i="7"/>
  <c r="E289" i="7" s="1"/>
  <c r="G289" i="7" s="1"/>
  <c r="H289" i="7" s="1"/>
  <c r="P288" i="7"/>
  <c r="E288" i="7" s="1"/>
  <c r="P287" i="7"/>
  <c r="E287" i="7" s="1"/>
  <c r="G287" i="7" s="1"/>
  <c r="H287" i="7" s="1"/>
  <c r="P286" i="7"/>
  <c r="E286" i="7" s="1"/>
  <c r="P285" i="7"/>
  <c r="E285" i="7" s="1"/>
  <c r="G285" i="7" s="1"/>
  <c r="H285" i="7" s="1"/>
  <c r="P284" i="7"/>
  <c r="E284" i="7" s="1"/>
  <c r="P283" i="7"/>
  <c r="E283" i="7" s="1"/>
  <c r="G283" i="7" s="1"/>
  <c r="H283" i="7" s="1"/>
  <c r="P282" i="7"/>
  <c r="E282" i="7" s="1"/>
  <c r="P281" i="7"/>
  <c r="E281" i="7" s="1"/>
  <c r="P280" i="7"/>
  <c r="E280" i="7" s="1"/>
  <c r="P279" i="7"/>
  <c r="E279" i="7" s="1"/>
  <c r="G279" i="7"/>
  <c r="H279" i="7" s="1"/>
  <c r="P278" i="7"/>
  <c r="E278" i="7" s="1"/>
  <c r="P277" i="7"/>
  <c r="E277" i="7" s="1"/>
  <c r="G277" i="7" s="1"/>
  <c r="H277" i="7" s="1"/>
  <c r="P276" i="7"/>
  <c r="E276" i="7" s="1"/>
  <c r="P275" i="7"/>
  <c r="E275" i="7" s="1"/>
  <c r="G275" i="7" s="1"/>
  <c r="H275" i="7" s="1"/>
  <c r="P274" i="7"/>
  <c r="E274" i="7" s="1"/>
  <c r="P273" i="7"/>
  <c r="E273" i="7" s="1"/>
  <c r="G273" i="7" s="1"/>
  <c r="H273" i="7" s="1"/>
  <c r="P272" i="7"/>
  <c r="E272" i="7" s="1"/>
  <c r="P271" i="7"/>
  <c r="E271" i="7" s="1"/>
  <c r="P270" i="7"/>
  <c r="E270" i="7" s="1"/>
  <c r="P269" i="7"/>
  <c r="E269" i="7" s="1"/>
  <c r="P268" i="7"/>
  <c r="E268" i="7" s="1"/>
  <c r="P267" i="7"/>
  <c r="E267" i="7" s="1"/>
  <c r="G267" i="7" s="1"/>
  <c r="H267" i="7" s="1"/>
  <c r="P266" i="7"/>
  <c r="E266" i="7" s="1"/>
  <c r="P265" i="7"/>
  <c r="E265" i="7" s="1"/>
  <c r="G265" i="7" s="1"/>
  <c r="H265" i="7" s="1"/>
  <c r="P264" i="7"/>
  <c r="E264" i="7" s="1"/>
  <c r="P263" i="7"/>
  <c r="E263" i="7" s="1"/>
  <c r="G263" i="7" s="1"/>
  <c r="H263" i="7" s="1"/>
  <c r="P262" i="7"/>
  <c r="E262" i="7" s="1"/>
  <c r="P261" i="7"/>
  <c r="E261" i="7" s="1"/>
  <c r="P260" i="7"/>
  <c r="E260" i="7" s="1"/>
  <c r="P259" i="7"/>
  <c r="E259" i="7" s="1"/>
  <c r="P258" i="7"/>
  <c r="E258" i="7" s="1"/>
  <c r="P257" i="7"/>
  <c r="E257" i="7" s="1"/>
  <c r="G257" i="7" s="1"/>
  <c r="H257" i="7" s="1"/>
  <c r="P256" i="7"/>
  <c r="E256" i="7" s="1"/>
  <c r="P255" i="7"/>
  <c r="E255" i="7" s="1"/>
  <c r="G255" i="7" s="1"/>
  <c r="H255" i="7" s="1"/>
  <c r="P254" i="7"/>
  <c r="E254" i="7" s="1"/>
  <c r="P253" i="7"/>
  <c r="E253" i="7" s="1"/>
  <c r="G253" i="7" s="1"/>
  <c r="H253" i="7" s="1"/>
  <c r="P252" i="7"/>
  <c r="E252" i="7" s="1"/>
  <c r="E251" i="7"/>
  <c r="G251" i="7" s="1"/>
  <c r="H251" i="7" s="1"/>
  <c r="P250" i="7"/>
  <c r="E250" i="7" s="1"/>
  <c r="G250" i="7" s="1"/>
  <c r="H250" i="7" s="1"/>
  <c r="P249" i="7"/>
  <c r="E249" i="7" s="1"/>
  <c r="G249" i="7" s="1"/>
  <c r="H249" i="7" s="1"/>
  <c r="P248" i="7"/>
  <c r="E248" i="7" s="1"/>
  <c r="G248" i="7" s="1"/>
  <c r="H248" i="7" s="1"/>
  <c r="P247" i="7"/>
  <c r="E247" i="7" s="1"/>
  <c r="P246" i="7"/>
  <c r="E246" i="7" s="1"/>
  <c r="P245" i="7"/>
  <c r="E245" i="7" s="1"/>
  <c r="G245" i="7" s="1"/>
  <c r="H245" i="7" s="1"/>
  <c r="P244" i="7"/>
  <c r="E244" i="7" s="1"/>
  <c r="P243" i="7"/>
  <c r="E243" i="7" s="1"/>
  <c r="G243" i="7" s="1"/>
  <c r="H243" i="7" s="1"/>
  <c r="P242" i="7"/>
  <c r="E242" i="7" s="1"/>
  <c r="G242" i="7" s="1"/>
  <c r="H242" i="7" s="1"/>
  <c r="P241" i="7"/>
  <c r="E241" i="7" s="1"/>
  <c r="P240" i="7"/>
  <c r="E240" i="7" s="1"/>
  <c r="G240" i="7" s="1"/>
  <c r="H240" i="7" s="1"/>
  <c r="P239" i="7"/>
  <c r="E239" i="7" s="1"/>
  <c r="G239" i="7" s="1"/>
  <c r="H239" i="7" s="1"/>
  <c r="P238" i="7"/>
  <c r="E238" i="7" s="1"/>
  <c r="P237" i="7"/>
  <c r="E237" i="7" s="1"/>
  <c r="G237" i="7" s="1"/>
  <c r="H237" i="7" s="1"/>
  <c r="F237" i="7"/>
  <c r="F213" i="7" s="1"/>
  <c r="P236" i="7"/>
  <c r="E236" i="7" s="1"/>
  <c r="P235" i="7"/>
  <c r="E235" i="7" s="1"/>
  <c r="G235" i="7" s="1"/>
  <c r="H235" i="7" s="1"/>
  <c r="P234" i="7"/>
  <c r="E234" i="7" s="1"/>
  <c r="P233" i="7"/>
  <c r="E233" i="7" s="1"/>
  <c r="P232" i="7"/>
  <c r="E232" i="7" s="1"/>
  <c r="G232" i="7" s="1"/>
  <c r="P231" i="7"/>
  <c r="E231" i="7" s="1"/>
  <c r="G231" i="7" s="1"/>
  <c r="P230" i="7"/>
  <c r="E230" i="7" s="1"/>
  <c r="G230" i="7" s="1"/>
  <c r="P229" i="7"/>
  <c r="E229" i="7" s="1"/>
  <c r="P228" i="7"/>
  <c r="E228" i="7" s="1"/>
  <c r="G228" i="7" s="1"/>
  <c r="H228" i="7" s="1"/>
  <c r="P227" i="7"/>
  <c r="E227" i="7" s="1"/>
  <c r="P226" i="7"/>
  <c r="E226" i="7" s="1"/>
  <c r="P225" i="7"/>
  <c r="E225" i="7" s="1"/>
  <c r="P224" i="7"/>
  <c r="E224" i="7" s="1"/>
  <c r="G224" i="7" s="1"/>
  <c r="H224" i="7" s="1"/>
  <c r="P223" i="7"/>
  <c r="E223" i="7" s="1"/>
  <c r="P222" i="7"/>
  <c r="E222" i="7" s="1"/>
  <c r="G222" i="7" s="1"/>
  <c r="H222" i="7" s="1"/>
  <c r="P221" i="7"/>
  <c r="E221" i="7" s="1"/>
  <c r="P220" i="7"/>
  <c r="E220" i="7" s="1"/>
  <c r="G220" i="7" s="1"/>
  <c r="H220" i="7" s="1"/>
  <c r="P219" i="7"/>
  <c r="E219" i="7" s="1"/>
  <c r="P218" i="7"/>
  <c r="E218" i="7" s="1"/>
  <c r="P217" i="7"/>
  <c r="E217" i="7" s="1"/>
  <c r="G217" i="7" s="1"/>
  <c r="H217" i="7" s="1"/>
  <c r="P216" i="7"/>
  <c r="P215" i="7"/>
  <c r="E215" i="7" s="1"/>
  <c r="P214" i="7"/>
  <c r="E214" i="7" s="1"/>
  <c r="G214" i="7" s="1"/>
  <c r="H214" i="7" s="1"/>
  <c r="D213" i="7"/>
  <c r="P212" i="7"/>
  <c r="P211" i="7"/>
  <c r="P209" i="7"/>
  <c r="P208" i="7"/>
  <c r="P207" i="7"/>
  <c r="P206" i="7"/>
  <c r="P205" i="7"/>
  <c r="P204" i="7"/>
  <c r="F202" i="7"/>
  <c r="D202" i="7"/>
  <c r="P201" i="7"/>
  <c r="P200" i="7"/>
  <c r="P199" i="7"/>
  <c r="P198" i="7"/>
  <c r="P196" i="7"/>
  <c r="P195" i="7"/>
  <c r="F193" i="7"/>
  <c r="D193" i="7"/>
  <c r="P192" i="7"/>
  <c r="P191" i="7" s="1"/>
  <c r="E191" i="7" s="1"/>
  <c r="P190" i="7"/>
  <c r="P189" i="7"/>
  <c r="P188" i="7"/>
  <c r="P187" i="7"/>
  <c r="P186" i="7"/>
  <c r="F184" i="7"/>
  <c r="D184" i="7"/>
  <c r="P183" i="7"/>
  <c r="P182" i="7"/>
  <c r="P181" i="7"/>
  <c r="D179" i="7"/>
  <c r="P178" i="7"/>
  <c r="G178" i="7"/>
  <c r="H178" i="7" s="1"/>
  <c r="P177" i="7"/>
  <c r="G177" i="7"/>
  <c r="H177" i="7" s="1"/>
  <c r="P175" i="7"/>
  <c r="P174" i="7" s="1"/>
  <c r="G174" i="7"/>
  <c r="F173" i="7"/>
  <c r="D173" i="7"/>
  <c r="P172" i="7"/>
  <c r="P171" i="7" s="1"/>
  <c r="P161" i="7" s="1"/>
  <c r="F161" i="7"/>
  <c r="P160" i="7"/>
  <c r="P159" i="7" s="1"/>
  <c r="E159" i="7" s="1"/>
  <c r="P158" i="7"/>
  <c r="P157" i="7"/>
  <c r="D155" i="7"/>
  <c r="P154" i="7"/>
  <c r="P153" i="7"/>
  <c r="P152" i="7"/>
  <c r="P151" i="7"/>
  <c r="P150" i="7"/>
  <c r="P147" i="7"/>
  <c r="P146" i="7"/>
  <c r="P143" i="7"/>
  <c r="P141" i="7"/>
  <c r="P140" i="7" s="1"/>
  <c r="E140" i="7" s="1"/>
  <c r="F139" i="7"/>
  <c r="D139" i="7"/>
  <c r="P138" i="7"/>
  <c r="P137" i="7"/>
  <c r="P136" i="7"/>
  <c r="P134" i="7"/>
  <c r="P133" i="7" s="1"/>
  <c r="E133" i="7" s="1"/>
  <c r="P132" i="7"/>
  <c r="P129" i="7"/>
  <c r="E129" i="7" s="1"/>
  <c r="P128" i="7"/>
  <c r="P127" i="7" s="1"/>
  <c r="E127" i="7" s="1"/>
  <c r="P121" i="7"/>
  <c r="E121" i="7" s="1"/>
  <c r="P120" i="7"/>
  <c r="P119" i="7" s="1"/>
  <c r="E119" i="7" s="1"/>
  <c r="G119" i="7" s="1"/>
  <c r="H119" i="7" s="1"/>
  <c r="P118" i="7"/>
  <c r="P117" i="7"/>
  <c r="D115" i="7"/>
  <c r="P114" i="7"/>
  <c r="P113" i="7" s="1"/>
  <c r="G114" i="7"/>
  <c r="H114" i="7" s="1"/>
  <c r="P112" i="7"/>
  <c r="P111" i="7"/>
  <c r="P109" i="7"/>
  <c r="P107" i="7"/>
  <c r="P105" i="7"/>
  <c r="P104" i="7" s="1"/>
  <c r="E104" i="7" s="1"/>
  <c r="G104" i="7" s="1"/>
  <c r="H104" i="7" s="1"/>
  <c r="P102" i="7"/>
  <c r="P101" i="7" s="1"/>
  <c r="F100" i="7"/>
  <c r="D100" i="7"/>
  <c r="P99" i="7"/>
  <c r="P98" i="7" s="1"/>
  <c r="E98" i="7" s="1"/>
  <c r="P97" i="7"/>
  <c r="G97" i="7"/>
  <c r="H97" i="7" s="1"/>
  <c r="P96" i="7"/>
  <c r="P95" i="7"/>
  <c r="P94" i="7"/>
  <c r="G94" i="7"/>
  <c r="H94" i="7" s="1"/>
  <c r="P92" i="7"/>
  <c r="P91" i="7"/>
  <c r="P89" i="7"/>
  <c r="G89" i="7"/>
  <c r="H89" i="7" s="1"/>
  <c r="P88" i="7"/>
  <c r="P87" i="7"/>
  <c r="F85" i="7"/>
  <c r="D85" i="7"/>
  <c r="P83" i="7"/>
  <c r="P82" i="7" s="1"/>
  <c r="E82" i="7" s="1"/>
  <c r="G82" i="7" s="1"/>
  <c r="P81" i="7"/>
  <c r="P80" i="7" s="1"/>
  <c r="E80" i="7" s="1"/>
  <c r="P79" i="7"/>
  <c r="P78" i="7" s="1"/>
  <c r="F77" i="7"/>
  <c r="D77" i="7"/>
  <c r="P76" i="7"/>
  <c r="G76" i="7"/>
  <c r="H76" i="7" s="1"/>
  <c r="P75" i="7"/>
  <c r="G75" i="7"/>
  <c r="H75" i="7" s="1"/>
  <c r="P72" i="7"/>
  <c r="P71" i="7"/>
  <c r="P68" i="7"/>
  <c r="P67" i="7"/>
  <c r="P66" i="7"/>
  <c r="P65" i="7"/>
  <c r="P63" i="7"/>
  <c r="G63" i="7"/>
  <c r="H63" i="7" s="1"/>
  <c r="P62" i="7"/>
  <c r="G62" i="7"/>
  <c r="H62" i="7" s="1"/>
  <c r="P61" i="7"/>
  <c r="G61" i="7"/>
  <c r="H61" i="7" s="1"/>
  <c r="P59" i="7"/>
  <c r="G59" i="7"/>
  <c r="H59" i="7" s="1"/>
  <c r="P58" i="7"/>
  <c r="P57" i="7"/>
  <c r="G57" i="7"/>
  <c r="H57" i="7" s="1"/>
  <c r="P56" i="7"/>
  <c r="P55" i="7"/>
  <c r="G55" i="7"/>
  <c r="H55" i="7" s="1"/>
  <c r="P54" i="7"/>
  <c r="P52" i="7"/>
  <c r="P51" i="7" s="1"/>
  <c r="E51" i="7" s="1"/>
  <c r="G52" i="7"/>
  <c r="H52" i="7" s="1"/>
  <c r="F50" i="7"/>
  <c r="D50" i="7"/>
  <c r="P49" i="7"/>
  <c r="G49" i="7"/>
  <c r="H49" i="7" s="1"/>
  <c r="P48" i="7"/>
  <c r="P47" i="7"/>
  <c r="G47" i="7"/>
  <c r="H47" i="7" s="1"/>
  <c r="P46" i="7"/>
  <c r="P45" i="7"/>
  <c r="G45" i="7"/>
  <c r="H45" i="7" s="1"/>
  <c r="P43" i="7"/>
  <c r="P42" i="7"/>
  <c r="P40" i="7"/>
  <c r="P39" i="7"/>
  <c r="P38" i="7"/>
  <c r="F36" i="7"/>
  <c r="D36" i="7"/>
  <c r="P35" i="7"/>
  <c r="P34" i="7"/>
  <c r="P33" i="7"/>
  <c r="P32" i="7"/>
  <c r="P31" i="7"/>
  <c r="P29" i="7"/>
  <c r="G29" i="7"/>
  <c r="H29" i="7" s="1"/>
  <c r="P28" i="7"/>
  <c r="G28" i="7"/>
  <c r="H28" i="7" s="1"/>
  <c r="G27" i="7"/>
  <c r="H27" i="7" s="1"/>
  <c r="G26" i="7"/>
  <c r="H26" i="7" s="1"/>
  <c r="G25" i="7"/>
  <c r="H25" i="7" s="1"/>
  <c r="G23" i="7"/>
  <c r="H23" i="7" s="1"/>
  <c r="P21" i="7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F5" i="7"/>
  <c r="P93" i="6"/>
  <c r="G93" i="6"/>
  <c r="H93" i="6" s="1"/>
  <c r="P92" i="6"/>
  <c r="P91" i="6"/>
  <c r="P90" i="6" s="1"/>
  <c r="E90" i="6" s="1"/>
  <c r="G90" i="6" s="1"/>
  <c r="H90" i="6" s="1"/>
  <c r="H91" i="6"/>
  <c r="P89" i="6"/>
  <c r="E89" i="6" s="1"/>
  <c r="G89" i="6" s="1"/>
  <c r="H89" i="6" s="1"/>
  <c r="P88" i="6"/>
  <c r="E88" i="6" s="1"/>
  <c r="D87" i="6"/>
  <c r="D86" i="6" s="1"/>
  <c r="F86" i="6"/>
  <c r="P85" i="6"/>
  <c r="E85" i="6" s="1"/>
  <c r="P84" i="6"/>
  <c r="E84" i="6" s="1"/>
  <c r="G84" i="6" s="1"/>
  <c r="H84" i="6" s="1"/>
  <c r="P83" i="6"/>
  <c r="E83" i="6" s="1"/>
  <c r="F82" i="6"/>
  <c r="F81" i="6" s="1"/>
  <c r="D82" i="6"/>
  <c r="D81" i="6" s="1"/>
  <c r="P80" i="6"/>
  <c r="P79" i="6"/>
  <c r="P77" i="6"/>
  <c r="P75" i="6"/>
  <c r="G75" i="6"/>
  <c r="P74" i="6"/>
  <c r="P72" i="6"/>
  <c r="P71" i="6"/>
  <c r="P70" i="6" s="1"/>
  <c r="E70" i="6" s="1"/>
  <c r="P69" i="6"/>
  <c r="G69" i="6"/>
  <c r="P68" i="6"/>
  <c r="G68" i="6"/>
  <c r="F66" i="6"/>
  <c r="F65" i="6" s="1"/>
  <c r="D66" i="6"/>
  <c r="D65" i="6" s="1"/>
  <c r="P64" i="6"/>
  <c r="P63" i="6"/>
  <c r="H63" i="6"/>
  <c r="P62" i="6"/>
  <c r="P61" i="6"/>
  <c r="P60" i="6"/>
  <c r="P59" i="6"/>
  <c r="P58" i="6"/>
  <c r="H58" i="6"/>
  <c r="P57" i="6"/>
  <c r="G57" i="6"/>
  <c r="H57" i="6" s="1"/>
  <c r="P55" i="6"/>
  <c r="P54" i="6"/>
  <c r="E54" i="6" s="1"/>
  <c r="G54" i="6" s="1"/>
  <c r="H54" i="6" s="1"/>
  <c r="F53" i="6"/>
  <c r="D53" i="6"/>
  <c r="P52" i="6"/>
  <c r="P51" i="6"/>
  <c r="P50" i="6"/>
  <c r="P49" i="6"/>
  <c r="P48" i="6" s="1"/>
  <c r="E48" i="6" s="1"/>
  <c r="P47" i="6"/>
  <c r="P46" i="6"/>
  <c r="P45" i="6"/>
  <c r="P43" i="6"/>
  <c r="P42" i="6"/>
  <c r="P41" i="6"/>
  <c r="P40" i="6"/>
  <c r="P38" i="6"/>
  <c r="P37" i="6" s="1"/>
  <c r="E37" i="6" s="1"/>
  <c r="G37" i="6" s="1"/>
  <c r="H37" i="6" s="1"/>
  <c r="F36" i="6"/>
  <c r="F35" i="6" s="1"/>
  <c r="D36" i="6"/>
  <c r="D35" i="6" s="1"/>
  <c r="P34" i="6"/>
  <c r="P33" i="6" s="1"/>
  <c r="P32" i="6" s="1"/>
  <c r="P31" i="6" s="1"/>
  <c r="F32" i="6"/>
  <c r="F31" i="6" s="1"/>
  <c r="D32" i="6"/>
  <c r="D31" i="6" s="1"/>
  <c r="D26" i="6"/>
  <c r="D25" i="6" s="1"/>
  <c r="P24" i="6"/>
  <c r="P23" i="6" s="1"/>
  <c r="E23" i="6" s="1"/>
  <c r="G23" i="6" s="1"/>
  <c r="P22" i="6"/>
  <c r="P21" i="6"/>
  <c r="P20" i="6"/>
  <c r="P18" i="6"/>
  <c r="P17" i="6" s="1"/>
  <c r="E17" i="6" s="1"/>
  <c r="G17" i="6" s="1"/>
  <c r="H17" i="6" s="1"/>
  <c r="P16" i="6"/>
  <c r="P15" i="6"/>
  <c r="P14" i="6"/>
  <c r="P13" i="6"/>
  <c r="P12" i="6"/>
  <c r="P11" i="6"/>
  <c r="P10" i="6"/>
  <c r="F8" i="6"/>
  <c r="F7" i="6" s="1"/>
  <c r="D8" i="6"/>
  <c r="D7" i="6" s="1"/>
  <c r="F6" i="6"/>
  <c r="P69" i="7" l="1"/>
  <c r="P90" i="7"/>
  <c r="P145" i="7"/>
  <c r="E145" i="7" s="1"/>
  <c r="P156" i="7"/>
  <c r="E156" i="7" s="1"/>
  <c r="P44" i="6"/>
  <c r="E44" i="6" s="1"/>
  <c r="D6" i="6"/>
  <c r="E33" i="6"/>
  <c r="G322" i="7"/>
  <c r="H322" i="7" s="1"/>
  <c r="P210" i="7"/>
  <c r="E210" i="7" s="1"/>
  <c r="G210" i="7" s="1"/>
  <c r="G302" i="7"/>
  <c r="H302" i="7" s="1"/>
  <c r="G247" i="7"/>
  <c r="H247" i="7" s="1"/>
  <c r="G129" i="7"/>
  <c r="H129" i="7" s="1"/>
  <c r="G291" i="7"/>
  <c r="H291" i="7" s="1"/>
  <c r="P135" i="7"/>
  <c r="E135" i="7" s="1"/>
  <c r="G274" i="7"/>
  <c r="H274" i="7" s="1"/>
  <c r="P318" i="7"/>
  <c r="E318" i="7" s="1"/>
  <c r="H318" i="7" s="1"/>
  <c r="P314" i="7"/>
  <c r="E314" i="7" s="1"/>
  <c r="G85" i="6"/>
  <c r="H85" i="6" s="1"/>
  <c r="G271" i="7"/>
  <c r="H271" i="7" s="1"/>
  <c r="G241" i="7"/>
  <c r="H241" i="7" s="1"/>
  <c r="G259" i="7"/>
  <c r="H259" i="7" s="1"/>
  <c r="G293" i="7"/>
  <c r="H293" i="7" s="1"/>
  <c r="G227" i="7"/>
  <c r="H227" i="7" s="1"/>
  <c r="G266" i="7"/>
  <c r="H266" i="7" s="1"/>
  <c r="E90" i="7"/>
  <c r="G90" i="7" s="1"/>
  <c r="H90" i="7" s="1"/>
  <c r="G121" i="7"/>
  <c r="H121" i="7" s="1"/>
  <c r="G261" i="7"/>
  <c r="H261" i="7" s="1"/>
  <c r="P44" i="7"/>
  <c r="E44" i="7" s="1"/>
  <c r="G44" i="7" s="1"/>
  <c r="H44" i="7" s="1"/>
  <c r="P116" i="7"/>
  <c r="P149" i="7"/>
  <c r="P148" i="7" s="1"/>
  <c r="E148" i="7" s="1"/>
  <c r="G148" i="7" s="1"/>
  <c r="H148" i="7" s="1"/>
  <c r="P8" i="7"/>
  <c r="F6" i="7"/>
  <c r="P53" i="7"/>
  <c r="P86" i="7"/>
  <c r="E86" i="7" s="1"/>
  <c r="G86" i="7" s="1"/>
  <c r="H86" i="7" s="1"/>
  <c r="P142" i="7"/>
  <c r="E142" i="7" s="1"/>
  <c r="G142" i="7" s="1"/>
  <c r="H142" i="7" s="1"/>
  <c r="D84" i="7"/>
  <c r="G254" i="7"/>
  <c r="H254" i="7" s="1"/>
  <c r="G48" i="6"/>
  <c r="H48" i="6" s="1"/>
  <c r="E171" i="7"/>
  <c r="G171" i="7" s="1"/>
  <c r="G269" i="7"/>
  <c r="H269" i="7" s="1"/>
  <c r="E113" i="7"/>
  <c r="G113" i="7" s="1"/>
  <c r="H113" i="7" s="1"/>
  <c r="G229" i="7"/>
  <c r="G286" i="7"/>
  <c r="H286" i="7" s="1"/>
  <c r="G233" i="7"/>
  <c r="G281" i="7"/>
  <c r="H281" i="7" s="1"/>
  <c r="G221" i="7"/>
  <c r="H221" i="7" s="1"/>
  <c r="G264" i="7"/>
  <c r="H264" i="7" s="1"/>
  <c r="G288" i="7"/>
  <c r="H288" i="7" s="1"/>
  <c r="P19" i="6"/>
  <c r="E19" i="6" s="1"/>
  <c r="P82" i="6"/>
  <c r="P81" i="6" s="1"/>
  <c r="P106" i="7"/>
  <c r="G127" i="7"/>
  <c r="G133" i="7"/>
  <c r="H133" i="7" s="1"/>
  <c r="G258" i="7"/>
  <c r="H258" i="7" s="1"/>
  <c r="G262" i="7"/>
  <c r="H262" i="7" s="1"/>
  <c r="G276" i="7"/>
  <c r="H276" i="7" s="1"/>
  <c r="P155" i="7"/>
  <c r="G218" i="7"/>
  <c r="H218" i="7" s="1"/>
  <c r="G246" i="7"/>
  <c r="H246" i="7" s="1"/>
  <c r="G252" i="7"/>
  <c r="H252" i="7" s="1"/>
  <c r="G268" i="7"/>
  <c r="H268" i="7" s="1"/>
  <c r="G280" i="7"/>
  <c r="H280" i="7" s="1"/>
  <c r="G292" i="7"/>
  <c r="H292" i="7" s="1"/>
  <c r="E78" i="7"/>
  <c r="E77" i="7" s="1"/>
  <c r="G77" i="7" s="1"/>
  <c r="H77" i="7" s="1"/>
  <c r="P77" i="7"/>
  <c r="G159" i="7"/>
  <c r="H159" i="7" s="1"/>
  <c r="G191" i="7"/>
  <c r="H191" i="7" s="1"/>
  <c r="G236" i="7"/>
  <c r="H236" i="7" s="1"/>
  <c r="G238" i="7"/>
  <c r="H238" i="7" s="1"/>
  <c r="G244" i="7"/>
  <c r="H244" i="7" s="1"/>
  <c r="G256" i="7"/>
  <c r="H256" i="7" s="1"/>
  <c r="G260" i="7"/>
  <c r="H260" i="7" s="1"/>
  <c r="G284" i="7"/>
  <c r="H284" i="7" s="1"/>
  <c r="G300" i="7"/>
  <c r="H300" i="7" s="1"/>
  <c r="G306" i="7"/>
  <c r="H306" i="7" s="1"/>
  <c r="G278" i="7"/>
  <c r="H278" i="7" s="1"/>
  <c r="P27" i="6"/>
  <c r="P26" i="6" s="1"/>
  <c r="P25" i="6" s="1"/>
  <c r="P76" i="6"/>
  <c r="E76" i="6" s="1"/>
  <c r="E87" i="6"/>
  <c r="E86" i="6" s="1"/>
  <c r="P37" i="7"/>
  <c r="G226" i="7"/>
  <c r="H226" i="7" s="1"/>
  <c r="G234" i="7"/>
  <c r="H234" i="7" s="1"/>
  <c r="G270" i="7"/>
  <c r="H270" i="7" s="1"/>
  <c r="G272" i="7"/>
  <c r="H272" i="7" s="1"/>
  <c r="G282" i="7"/>
  <c r="H282" i="7" s="1"/>
  <c r="G290" i="7"/>
  <c r="H290" i="7" s="1"/>
  <c r="G294" i="7"/>
  <c r="G304" i="7"/>
  <c r="H304" i="7" s="1"/>
  <c r="P56" i="6"/>
  <c r="E56" i="6" s="1"/>
  <c r="E53" i="6" s="1"/>
  <c r="G53" i="6" s="1"/>
  <c r="H53" i="6" s="1"/>
  <c r="P73" i="6"/>
  <c r="E73" i="6" s="1"/>
  <c r="P13" i="7"/>
  <c r="J25" i="7" s="1"/>
  <c r="P41" i="7"/>
  <c r="E41" i="7" s="1"/>
  <c r="P60" i="7"/>
  <c r="P110" i="7"/>
  <c r="P100" i="7" s="1"/>
  <c r="E100" i="7" s="1"/>
  <c r="G100" i="7" s="1"/>
  <c r="H100" i="7" s="1"/>
  <c r="P176" i="7"/>
  <c r="E176" i="7" s="1"/>
  <c r="P194" i="7"/>
  <c r="E194" i="7" s="1"/>
  <c r="P197" i="7"/>
  <c r="E197" i="7" s="1"/>
  <c r="G197" i="7" s="1"/>
  <c r="H197" i="7" s="1"/>
  <c r="P9" i="6"/>
  <c r="P8" i="6" s="1"/>
  <c r="P7" i="6" s="1"/>
  <c r="P67" i="6"/>
  <c r="E67" i="6" s="1"/>
  <c r="P30" i="7"/>
  <c r="P74" i="7"/>
  <c r="E74" i="7" s="1"/>
  <c r="G74" i="7" s="1"/>
  <c r="H74" i="7" s="1"/>
  <c r="P310" i="7"/>
  <c r="E310" i="7" s="1"/>
  <c r="D6" i="7"/>
  <c r="D5" i="7" s="1"/>
  <c r="G73" i="6"/>
  <c r="H73" i="6" s="1"/>
  <c r="E13" i="7"/>
  <c r="G13" i="7" s="1"/>
  <c r="H13" i="7" s="1"/>
  <c r="G19" i="6"/>
  <c r="H19" i="6" s="1"/>
  <c r="G44" i="6"/>
  <c r="H44" i="6" s="1"/>
  <c r="G70" i="6"/>
  <c r="H70" i="6" s="1"/>
  <c r="E32" i="6"/>
  <c r="G33" i="6"/>
  <c r="H33" i="6" s="1"/>
  <c r="P53" i="6"/>
  <c r="G87" i="6"/>
  <c r="E116" i="7"/>
  <c r="G225" i="7"/>
  <c r="H225" i="7" s="1"/>
  <c r="P39" i="6"/>
  <c r="P87" i="6"/>
  <c r="P86" i="6" s="1"/>
  <c r="G98" i="7"/>
  <c r="H98" i="7" s="1"/>
  <c r="G140" i="7"/>
  <c r="G215" i="7"/>
  <c r="H215" i="7" s="1"/>
  <c r="G223" i="7"/>
  <c r="H223" i="7" s="1"/>
  <c r="E9" i="6"/>
  <c r="G88" i="6"/>
  <c r="H88" i="6" s="1"/>
  <c r="E101" i="7"/>
  <c r="G101" i="7" s="1"/>
  <c r="H101" i="7" s="1"/>
  <c r="G145" i="7"/>
  <c r="H145" i="7" s="1"/>
  <c r="F26" i="6"/>
  <c r="F25" i="6" s="1"/>
  <c r="E82" i="6"/>
  <c r="G83" i="6"/>
  <c r="H83" i="6" s="1"/>
  <c r="E8" i="7"/>
  <c r="J23" i="7"/>
  <c r="P23" i="7" s="1"/>
  <c r="P22" i="7" s="1"/>
  <c r="E22" i="7" s="1"/>
  <c r="G51" i="7"/>
  <c r="H51" i="7" s="1"/>
  <c r="G80" i="7"/>
  <c r="H80" i="7" s="1"/>
  <c r="E216" i="7"/>
  <c r="P213" i="7"/>
  <c r="E213" i="7" s="1"/>
  <c r="G213" i="7" s="1"/>
  <c r="H213" i="7" s="1"/>
  <c r="G219" i="7"/>
  <c r="H219" i="7" s="1"/>
  <c r="P64" i="7"/>
  <c r="P180" i="7"/>
  <c r="P185" i="7"/>
  <c r="F84" i="7"/>
  <c r="P203" i="7"/>
  <c r="P93" i="7"/>
  <c r="P131" i="7"/>
  <c r="E131" i="7" s="1"/>
  <c r="P313" i="7"/>
  <c r="E155" i="7" l="1"/>
  <c r="G155" i="7" s="1"/>
  <c r="H155" i="7" s="1"/>
  <c r="G156" i="7"/>
  <c r="H156" i="7" s="1"/>
  <c r="P66" i="6"/>
  <c r="G56" i="6"/>
  <c r="H56" i="6" s="1"/>
  <c r="P309" i="7"/>
  <c r="P85" i="7"/>
  <c r="P50" i="7"/>
  <c r="P139" i="7"/>
  <c r="E139" i="7" s="1"/>
  <c r="G139" i="7" s="1"/>
  <c r="H139" i="7" s="1"/>
  <c r="G135" i="7"/>
  <c r="H135" i="7" s="1"/>
  <c r="G318" i="7"/>
  <c r="P36" i="7"/>
  <c r="P193" i="7"/>
  <c r="E53" i="7"/>
  <c r="G53" i="7" s="1"/>
  <c r="H53" i="7" s="1"/>
  <c r="E27" i="6"/>
  <c r="E26" i="6" s="1"/>
  <c r="E30" i="7"/>
  <c r="G30" i="7" s="1"/>
  <c r="H30" i="7" s="1"/>
  <c r="E37" i="7"/>
  <c r="E36" i="7" s="1"/>
  <c r="G36" i="7" s="1"/>
  <c r="H36" i="7" s="1"/>
  <c r="G67" i="6"/>
  <c r="H67" i="6" s="1"/>
  <c r="E173" i="7"/>
  <c r="G173" i="7" s="1"/>
  <c r="H173" i="7" s="1"/>
  <c r="G176" i="7"/>
  <c r="H176" i="7" s="1"/>
  <c r="E110" i="7"/>
  <c r="G110" i="7" s="1"/>
  <c r="H110" i="7" s="1"/>
  <c r="G76" i="6"/>
  <c r="H76" i="6" s="1"/>
  <c r="G41" i="7"/>
  <c r="H41" i="7" s="1"/>
  <c r="E161" i="7"/>
  <c r="G161" i="7" s="1"/>
  <c r="H161" i="7" s="1"/>
  <c r="E60" i="7"/>
  <c r="G60" i="7" s="1"/>
  <c r="H60" i="7" s="1"/>
  <c r="P173" i="7"/>
  <c r="G78" i="7"/>
  <c r="H78" i="7" s="1"/>
  <c r="E106" i="7"/>
  <c r="G106" i="7" s="1"/>
  <c r="H106" i="7" s="1"/>
  <c r="G131" i="7"/>
  <c r="H131" i="7" s="1"/>
  <c r="P184" i="7"/>
  <c r="E185" i="7"/>
  <c r="G8" i="7"/>
  <c r="H8" i="7" s="1"/>
  <c r="E66" i="6"/>
  <c r="P65" i="6"/>
  <c r="E193" i="7"/>
  <c r="G193" i="7" s="1"/>
  <c r="H193" i="7" s="1"/>
  <c r="G194" i="7"/>
  <c r="H194" i="7" s="1"/>
  <c r="G116" i="7"/>
  <c r="H116" i="7" s="1"/>
  <c r="G22" i="7"/>
  <c r="H22" i="7" s="1"/>
  <c r="G9" i="6"/>
  <c r="H9" i="6" s="1"/>
  <c r="E8" i="6"/>
  <c r="P202" i="7"/>
  <c r="E203" i="7"/>
  <c r="E180" i="7"/>
  <c r="P179" i="7"/>
  <c r="E179" i="7" s="1"/>
  <c r="G179" i="7" s="1"/>
  <c r="H179" i="7" s="1"/>
  <c r="E64" i="7"/>
  <c r="G216" i="7"/>
  <c r="H216" i="7" s="1"/>
  <c r="E313" i="7"/>
  <c r="G313" i="7" s="1"/>
  <c r="H313" i="7" s="1"/>
  <c r="G314" i="7"/>
  <c r="E69" i="7"/>
  <c r="G69" i="7" s="1"/>
  <c r="H69" i="7" s="1"/>
  <c r="G82" i="6"/>
  <c r="H82" i="6" s="1"/>
  <c r="E81" i="6"/>
  <c r="G81" i="6" s="1"/>
  <c r="H81" i="6" s="1"/>
  <c r="G37" i="7"/>
  <c r="H37" i="7" s="1"/>
  <c r="E93" i="7"/>
  <c r="E309" i="7"/>
  <c r="G309" i="7" s="1"/>
  <c r="H309" i="7" s="1"/>
  <c r="G310" i="7"/>
  <c r="H310" i="7" s="1"/>
  <c r="P25" i="7"/>
  <c r="J26" i="7"/>
  <c r="P26" i="7" s="1"/>
  <c r="J27" i="7" s="1"/>
  <c r="P27" i="7" s="1"/>
  <c r="E39" i="6"/>
  <c r="P36" i="6"/>
  <c r="P35" i="6" s="1"/>
  <c r="P115" i="7"/>
  <c r="E115" i="7" s="1"/>
  <c r="G115" i="7" s="1"/>
  <c r="H115" i="7" s="1"/>
  <c r="G86" i="6"/>
  <c r="H86" i="6" s="1"/>
  <c r="H87" i="6"/>
  <c r="G32" i="6"/>
  <c r="H32" i="6" s="1"/>
  <c r="E31" i="6"/>
  <c r="G31" i="6" s="1"/>
  <c r="H31" i="6" s="1"/>
  <c r="G27" i="6"/>
  <c r="H27" i="6" s="1"/>
  <c r="P6" i="6" l="1"/>
  <c r="P24" i="7"/>
  <c r="G66" i="6"/>
  <c r="H66" i="6" s="1"/>
  <c r="E65" i="6"/>
  <c r="G65" i="6" s="1"/>
  <c r="H65" i="6" s="1"/>
  <c r="G180" i="7"/>
  <c r="H180" i="7" s="1"/>
  <c r="G26" i="6"/>
  <c r="H26" i="6" s="1"/>
  <c r="E25" i="6"/>
  <c r="G25" i="6" s="1"/>
  <c r="H25" i="6" s="1"/>
  <c r="G93" i="7"/>
  <c r="H93" i="7" s="1"/>
  <c r="E85" i="7"/>
  <c r="G39" i="6"/>
  <c r="H39" i="6" s="1"/>
  <c r="E36" i="6"/>
  <c r="G64" i="7"/>
  <c r="H64" i="7" s="1"/>
  <c r="E50" i="7"/>
  <c r="G50" i="7" s="1"/>
  <c r="H50" i="7" s="1"/>
  <c r="E202" i="7"/>
  <c r="G202" i="7" s="1"/>
  <c r="H202" i="7" s="1"/>
  <c r="G203" i="7"/>
  <c r="H203" i="7" s="1"/>
  <c r="G8" i="6"/>
  <c r="H8" i="6" s="1"/>
  <c r="E7" i="6"/>
  <c r="E184" i="7"/>
  <c r="G184" i="7" s="1"/>
  <c r="H184" i="7" s="1"/>
  <c r="G185" i="7"/>
  <c r="H185" i="7" s="1"/>
  <c r="P84" i="7"/>
  <c r="G85" i="7" l="1"/>
  <c r="H85" i="7" s="1"/>
  <c r="E84" i="7"/>
  <c r="G84" i="7" s="1"/>
  <c r="H84" i="7" s="1"/>
  <c r="G7" i="6"/>
  <c r="H7" i="6" s="1"/>
  <c r="G36" i="6"/>
  <c r="H36" i="6" s="1"/>
  <c r="E35" i="6"/>
  <c r="G35" i="6" s="1"/>
  <c r="H35" i="6" s="1"/>
  <c r="E24" i="7"/>
  <c r="P7" i="7"/>
  <c r="P6" i="7" s="1"/>
  <c r="P5" i="7" s="1"/>
  <c r="G24" i="7" l="1"/>
  <c r="H24" i="7" s="1"/>
  <c r="E7" i="7"/>
  <c r="E6" i="6"/>
  <c r="G6" i="6" s="1"/>
  <c r="H6" i="6" s="1"/>
  <c r="E6" i="7" l="1"/>
  <c r="G7" i="7"/>
  <c r="H7" i="7" s="1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<sst xmlns="http://schemas.openxmlformats.org/spreadsheetml/2006/main" count="2316" uniqueCount="474">
  <si>
    <t>부회장 직책보조비</t>
  </si>
  <si>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</si>
  <si>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</si>
  <si>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</si>
  <si>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</si>
  <si>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</si>
  <si>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</si>
  <si>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시설전출금
(후원금)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</si>
  <si>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</si>
  <si>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</si>
  <si>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</si>
  <si>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</si>
  <si>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</si>
  <si>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</si>
  <si>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회장 직책보조비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</si>
  <si>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</si>
  <si>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</si>
  <si>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</si>
  <si>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</si>
  <si>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</si>
  <si>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바보의나눔 지원금</t>
  </si>
  <si>
    <t>신풍오피스텔 임대</t>
  </si>
  <si>
    <t>시흥4동성당데이</t>
  </si>
  <si>
    <t>2023년예산(B)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</si>
  <si>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</si>
  <si>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</si>
  <si>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</si>
  <si>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</si>
  <si>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</si>
  <si>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</si>
  <si>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</si>
  <si>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</si>
  <si>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</si>
  <si>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</si>
  <si>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덕계동 임대수입</t>
  </si>
  <si>
    <t>헬렌켈러단기거주</t>
  </si>
  <si>
    <t>화해의집 쉼자리</t>
  </si>
  <si>
    <t>후원관리프로그램</t>
  </si>
  <si>
    <t>성모(등촌)어린이집</t>
  </si>
  <si>
    <t>나자로보호작업장</t>
  </si>
  <si>
    <t>수용비 및
수수료</t>
  </si>
  <si>
    <t>꿈자람터장애인주간</t>
  </si>
  <si>
    <t>중구장애인복지관</t>
  </si>
  <si>
    <t>4) 과년도지출</t>
  </si>
  <si>
    <t>연차보고서 발간</t>
  </si>
  <si>
    <t>한국사회적기업진흥원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</si>
  <si>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</si>
  <si>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</si>
  <si>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</si>
  <si>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</si>
  <si>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</si>
  <si>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</si>
  <si>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</si>
  <si>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</si>
  <si>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</si>
  <si>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경동제약 지정기탁사업</t>
  </si>
  <si>
    <t>8) 예비비 및 기타</t>
  </si>
  <si>
    <t>서초3단지어린이집</t>
  </si>
  <si>
    <t>장학사업
지정후원금</t>
  </si>
  <si>
    <t>바오로교실작업장</t>
  </si>
  <si>
    <t>7) 시설전출금</t>
  </si>
  <si>
    <t xml:space="preserve"> 카리타스정체성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</si>
  <si>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</si>
  <si>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</si>
  <si>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</si>
  <si>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</si>
  <si>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</si>
  <si>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</si>
  <si>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동화나라어린이집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</si>
  <si>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</si>
  <si>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</si>
  <si>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</si>
  <si>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</si>
  <si>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</si>
  <si>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</si>
  <si>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</si>
  <si>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</si>
  <si>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</si>
  <si>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홍보물 및 평가회의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</si>
  <si>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</si>
  <si>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</si>
  <si>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</si>
  <si>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</si>
  <si>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</si>
  <si>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</si>
  <si>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</si>
  <si>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</si>
  <si>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</si>
  <si>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</si>
  <si>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</si>
  <si>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</si>
  <si>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사례집 제작 및 배포</t>
  </si>
  <si>
    <t>본당사회복지활동지원</t>
  </si>
  <si>
    <t>회계감사및 세무조정료</t>
  </si>
  <si>
    <t>CS노인통합
사례관리</t>
  </si>
  <si>
    <t>사업수행본당 평가회</t>
  </si>
  <si>
    <t>특별수당(설,추석)</t>
  </si>
  <si>
    <t>직원 회의비 등</t>
  </si>
  <si>
    <t>마고네지역아동센터</t>
  </si>
  <si>
    <t xml:space="preserve">선종봉사부 반환금 </t>
  </si>
  <si>
    <t>사순절/대림절 모금</t>
  </si>
  <si>
    <t>강일성모노인요양</t>
  </si>
  <si>
    <t>화곡성모공동생활</t>
  </si>
  <si>
    <t>장학기금
이자수입</t>
  </si>
  <si>
    <t>시설 재산관리비</t>
  </si>
  <si>
    <t>사무용  비품구입</t>
  </si>
  <si>
    <t>운영위원 회의비</t>
  </si>
  <si>
    <t>지정기탁시설지원 등</t>
  </si>
  <si>
    <t>꿈손단기보호시설</t>
  </si>
  <si>
    <t>통합운영위원회회의비</t>
  </si>
  <si>
    <t>시설방문 및 축하금</t>
  </si>
  <si>
    <t>전문인력양성및 캠페인</t>
  </si>
  <si>
    <t>서로함께공동생활</t>
  </si>
  <si>
    <t>시설 수탁관리비</t>
  </si>
  <si>
    <t>법인/시설
연대사업비</t>
  </si>
  <si>
    <t>교정사목위원회 지원</t>
  </si>
  <si>
    <t>시설 고충처리위원회</t>
  </si>
  <si>
    <t>온라인 웹진 제작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</si>
  <si>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</si>
  <si>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</si>
  <si>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</si>
  <si>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</si>
  <si>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</si>
  <si>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사랑의손길 지원사업</t>
  </si>
  <si>
    <t>본당시설 공동사업지원</t>
  </si>
  <si>
    <t>사랑의손길(서울주보)</t>
  </si>
  <si>
    <t>제2조 1. 세입ㆍ세출의 명세는 세입ㆍ세출 예산서와 같다.</t>
  </si>
  <si>
    <t>장애인의날행사비 5,000천원+바오로교실기능보강 4,000천원</t>
  </si>
  <si>
    <t>국가 또는 지자체로부터 교부된 보조금 및 수익자 부담경비, 후원금 등은 추가경정예산 성립 이전에 사용할 수 있으며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</si>
  <si>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</si>
  <si>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</si>
  <si>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</si>
  <si>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</si>
  <si>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</si>
  <si>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</si>
  <si>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</si>
  <si>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</si>
  <si>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</si>
  <si>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</si>
  <si>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</si>
  <si>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</si>
  <si>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</si>
  <si>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</si>
  <si>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</si>
  <si>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</si>
  <si>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</si>
  <si>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</si>
  <si>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</si>
  <si>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</si>
  <si>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</si>
  <si>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</si>
  <si>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</si>
  <si>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x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</si>
  <si>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</si>
  <si>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</si>
  <si>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</si>
  <si>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</si>
  <si>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</si>
  <si>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</si>
  <si>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</si>
  <si>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</si>
  <si>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</si>
  <si>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</si>
  <si>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</si>
  <si>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</si>
  <si>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대부료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</si>
  <si>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</si>
  <si>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</si>
  <si>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</si>
  <si>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</si>
  <si>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</si>
  <si>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</si>
  <si>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</si>
  <si>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</si>
  <si>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</si>
  <si>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</si>
  <si>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</si>
  <si>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</si>
  <si>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</si>
  <si>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</si>
  <si>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</si>
  <si>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</si>
  <si>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</si>
  <si>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신규</t>
  </si>
  <si>
    <t>비율</t>
  </si>
  <si>
    <t>여비</t>
  </si>
  <si>
    <t>인건비</t>
  </si>
  <si>
    <t xml:space="preserve">  </t>
  </si>
  <si>
    <t>본봉</t>
  </si>
  <si>
    <t>반환금</t>
  </si>
  <si>
    <t>천원</t>
  </si>
  <si>
    <t>양초사업 대여금 상환 관련 수입</t>
  </si>
  <si>
    <t>온라인모금(해피빈, 신한아름인)</t>
  </si>
  <si>
    <t xml:space="preserve">3. 세출의 내용은 다음과 같다. </t>
  </si>
  <si>
    <t>카사지센 사업비 지원(자부담)</t>
  </si>
  <si>
    <t>수탁종료(2022.12.31)</t>
  </si>
  <si>
    <t>기타후생비(장기근속포상 포함)</t>
  </si>
  <si>
    <t>동자동 임대수입(1층,지하층)</t>
  </si>
  <si>
    <t>성무활동비 및 미사예물(사제)</t>
  </si>
  <si>
    <t xml:space="preserve">2012년 11월 집행액(C)
</t>
  </si>
  <si>
    <t>2021년한마음지원금 잔액반환 등</t>
  </si>
  <si>
    <t>신년인사회 등 행사비(장기근속포함)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</si>
  <si>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</si>
  <si>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</si>
  <si>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</si>
  <si>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</si>
  <si>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</si>
  <si>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</si>
  <si>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</si>
  <si>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</si>
  <si>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도곡어린이집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</si>
  <si>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</si>
  <si>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</si>
  <si>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</si>
  <si>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</si>
  <si>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</si>
  <si>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</si>
  <si>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보미나어린이집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</si>
  <si>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</si>
  <si>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</si>
  <si>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</si>
  <si>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</si>
  <si>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</si>
  <si>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</si>
  <si>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</si>
  <si>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</si>
  <si>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</si>
  <si>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</si>
  <si>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</si>
  <si>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</si>
  <si>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</si>
  <si>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</si>
  <si>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 xml:space="preserve">제4조 </t>
  </si>
  <si>
    <t>장학금지급</t>
  </si>
  <si>
    <t>6) 상환금</t>
  </si>
  <si>
    <t>전문가 자문비</t>
  </si>
  <si>
    <t>모금관리</t>
  </si>
  <si>
    <t>천호동성당데이</t>
  </si>
  <si>
    <t>운영위원회의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</si>
  <si>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</si>
  <si>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</si>
  <si>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</si>
  <si>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</si>
  <si>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</si>
  <si>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</si>
  <si>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</si>
  <si>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</si>
  <si>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</si>
  <si>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</si>
  <si>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</si>
  <si>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</si>
  <si>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</si>
  <si>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</si>
  <si>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 xml:space="preserve">제5조 </t>
  </si>
  <si>
    <t>교육자문위원회</t>
  </si>
  <si>
    <t>차량유류대</t>
  </si>
  <si>
    <t>상계동성당데이</t>
  </si>
  <si>
    <t>목동어린이집</t>
  </si>
  <si>
    <t>기타재산수입</t>
  </si>
  <si>
    <t>고용보험</t>
  </si>
  <si>
    <t>퇴직연금</t>
  </si>
  <si>
    <t>시설지정기탁</t>
  </si>
  <si>
    <t>기타보조금수입</t>
  </si>
  <si>
    <t>금천노인복지관</t>
  </si>
  <si>
    <t>직원 경조사비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</si>
  <si>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</si>
  <si>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</si>
  <si>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</si>
  <si>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</si>
  <si>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</si>
  <si>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</si>
  <si>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</si>
  <si>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</si>
  <si>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</si>
  <si>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</si>
  <si>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</si>
  <si>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</si>
  <si>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</si>
  <si>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</si>
  <si>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</si>
  <si>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홍보굿즈 제작</t>
  </si>
  <si>
    <t>정기업무점검</t>
  </si>
  <si>
    <t>세미나 등</t>
  </si>
  <si>
    <t>사례발표회</t>
  </si>
  <si>
    <t>후원자통합관리</t>
  </si>
  <si>
    <t>공모지원사업</t>
  </si>
  <si>
    <t>행운동성당데이</t>
  </si>
  <si>
    <t>한가족장학회</t>
  </si>
  <si>
    <t>3) 보조금</t>
  </si>
  <si>
    <t>방송모금</t>
  </si>
  <si>
    <t>2.  세 출</t>
  </si>
  <si>
    <t>누림학교</t>
  </si>
  <si>
    <t>계좌입금 후원</t>
  </si>
  <si>
    <t>등록단체지원금</t>
  </si>
  <si>
    <t>신망애공동생활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</si>
  <si>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</si>
  <si>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</si>
  <si>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</si>
  <si>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</si>
  <si>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</si>
  <si>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</si>
  <si>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</si>
  <si>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</si>
  <si>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</si>
  <si>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</si>
  <si>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</si>
  <si>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</si>
  <si>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</si>
  <si>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</si>
  <si>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시설장연수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</si>
  <si>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</si>
  <si>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</si>
  <si>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</si>
  <si>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</si>
  <si>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</si>
  <si>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</si>
  <si>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</si>
  <si>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</si>
  <si>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두레네공동생활</t>
  </si>
  <si>
    <t>요셉의원</t>
  </si>
  <si>
    <t>재산매각수입</t>
  </si>
  <si>
    <t>차년도이월금</t>
  </si>
  <si>
    <t>업무점검</t>
  </si>
  <si>
    <t>사랑손주간보호</t>
  </si>
  <si>
    <t>예비비
및기타</t>
  </si>
  <si>
    <t>기말수당</t>
  </si>
  <si>
    <t>수탁종료예정</t>
  </si>
  <si>
    <t>조정수당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</si>
  <si>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</si>
  <si>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</si>
  <si>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</si>
  <si>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</si>
  <si>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</si>
  <si>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</si>
  <si>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상계장애인주간</t>
  </si>
  <si>
    <t>서울주보 홍보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</si>
  <si>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</si>
  <si>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</si>
  <si>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</si>
  <si>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</si>
  <si>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</si>
  <si>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</si>
  <si>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</si>
  <si>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</si>
  <si>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</si>
  <si>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</si>
  <si>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자동차보험모금</t>
  </si>
  <si>
    <t>연구기획사업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</si>
  <si>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</si>
  <si>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</si>
  <si>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</si>
  <si>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</si>
  <si>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</si>
  <si>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</si>
  <si>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</si>
  <si>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 xml:space="preserve"> 자기개발과정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</si>
  <si>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</si>
  <si>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</si>
  <si>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</si>
  <si>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</si>
  <si>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</si>
  <si>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</si>
  <si>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</si>
  <si>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</si>
  <si>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</si>
  <si>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</si>
  <si>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</si>
  <si>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</si>
  <si>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</si>
  <si>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</si>
  <si>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사회조사</t>
  </si>
  <si>
    <t>차량유지비</t>
  </si>
  <si>
    <t>기타 시설비</t>
  </si>
  <si>
    <t>諸유지보수비</t>
  </si>
  <si>
    <t>인터넷사용료</t>
  </si>
  <si>
    <t>기관운영비</t>
  </si>
  <si>
    <t>본당모금사업</t>
  </si>
  <si>
    <t>사랑의집</t>
  </si>
  <si>
    <t>야근 식대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</si>
  <si>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</si>
  <si>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</si>
  <si>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</si>
  <si>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</si>
  <si>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</si>
  <si>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</si>
  <si>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</si>
  <si>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</si>
  <si>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</si>
  <si>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</si>
  <si>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</si>
  <si>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</si>
  <si>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</si>
  <si>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</si>
  <si>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</si>
  <si>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</si>
  <si>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</si>
  <si>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</si>
  <si>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</si>
  <si>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</si>
  <si>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이는 차기 추가경정예산에 반영해야 한다.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</si>
  <si>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</si>
  <si>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</si>
  <si>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</si>
  <si>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</si>
  <si>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</si>
  <si>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</si>
  <si>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</si>
  <si>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</si>
  <si>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</si>
  <si>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</si>
  <si>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</si>
  <si>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</si>
  <si>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</si>
  <si>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</si>
  <si>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</si>
  <si>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>사례컨퍼런스 및 사례집제작</t>
  </si>
  <si>
    <t xml:space="preserve"> - 점검단교육비및 평가회비</t>
  </si>
  <si>
    <t xml:space="preserve">직영수탁시설 근조기운영 </t>
  </si>
  <si>
    <t>동자동 임대수입(4층)</t>
  </si>
  <si>
    <t>본당 자원봉사 
관리및 운영</t>
  </si>
  <si>
    <t>특별수당(부활,휴가,성탄)</t>
  </si>
  <si>
    <t>자선주일(대림)2차헌금</t>
  </si>
  <si>
    <t>온라인 홍보컨텐츠 구입</t>
  </si>
  <si>
    <t>성지주일(사순)2차헌금</t>
  </si>
  <si>
    <t>통신사 기지국 임대수입</t>
  </si>
  <si>
    <t>본당사회복지사목 매뉴얼 제작</t>
  </si>
  <si>
    <t>사회복지사목 시범본당 운영</t>
  </si>
  <si>
    <t>혼배기부 홍보지 제작비</t>
  </si>
  <si>
    <t>수탁종료시설 지원금 등</t>
  </si>
  <si>
    <t>사회복지회 사제 급여 지원금</t>
  </si>
  <si>
    <t>성모영보장학기금  이자수입</t>
  </si>
  <si>
    <t>홍보대사 활동 및 관리</t>
  </si>
  <si>
    <t>통합네트워크시스템 유지비</t>
  </si>
  <si>
    <t>모금 캠페인(장학금 등)</t>
  </si>
  <si>
    <t>2021년 법인세 환급</t>
  </si>
  <si>
    <t>요안나장학사업 지정후원</t>
  </si>
  <si>
    <t>시설전출금+시설전출후원금</t>
  </si>
  <si>
    <t>온라인매체 콘텐츠 제작</t>
  </si>
  <si>
    <t>본당사회복지 공모지원사업</t>
  </si>
  <si>
    <t>기타재산수입 및 배당수입</t>
  </si>
  <si>
    <t>서울대교구성당지정후원금</t>
  </si>
  <si>
    <t>노후시설환경개선지정후원</t>
  </si>
  <si>
    <t>재산세 및 재산관련 보험</t>
  </si>
  <si>
    <t>희망의밥(바보 개인지정기탁)</t>
  </si>
  <si>
    <t>사순대림 저금통(본당)</t>
  </si>
  <si>
    <t>기타관리비(신청서 제작 등)</t>
  </si>
  <si>
    <t xml:space="preserve"> 특별과정(가톨릭에코연대)</t>
  </si>
  <si>
    <t>한국종사협, 서복연 등</t>
  </si>
  <si>
    <t>예다움보듬이나눔이어린이집</t>
  </si>
  <si>
    <t>2022년2차
추경예산(A)</t>
  </si>
  <si>
    <t>취약계층 (긴급)지원사업</t>
  </si>
  <si>
    <t>행복품앗이사업단 폐업잔액</t>
  </si>
  <si>
    <t>기쁜우리월드소송관련비 지원</t>
  </si>
  <si>
    <t>2023년  예산 총칙</t>
  </si>
  <si>
    <t>&lt;요셉나눔재단으로 분리&gt;</t>
  </si>
  <si>
    <t>법인 안전보건비용</t>
    <phoneticPr fontId="6" type="noConversion"/>
  </si>
  <si>
    <t>종사자
교육비</t>
    <phoneticPr fontId="6" type="noConversion"/>
  </si>
  <si>
    <t>자기개발과정</t>
    <phoneticPr fontId="6" type="noConversion"/>
  </si>
  <si>
    <t>특별과정</t>
    <phoneticPr fontId="6" type="noConversion"/>
  </si>
  <si>
    <t>시설 안전보건예산</t>
    <phoneticPr fontId="6" type="noConversion"/>
  </si>
  <si>
    <t>화</t>
  </si>
  <si>
    <t>가톨릭에코
연대사업</t>
  </si>
  <si>
    <t>강사비</t>
    <phoneticPr fontId="6" type="noConversion"/>
  </si>
  <si>
    <t>대관비,진행비</t>
    <phoneticPr fontId="6" type="noConversion"/>
  </si>
  <si>
    <t>간식비,홍보비</t>
    <phoneticPr fontId="6" type="noConversion"/>
  </si>
  <si>
    <t>&lt; 종사자교육비와 통합&gt;</t>
    <phoneticPr fontId="6" type="noConversion"/>
  </si>
  <si>
    <t>원</t>
    <phoneticPr fontId="6" type="noConversion"/>
  </si>
  <si>
    <t>사업비</t>
    <phoneticPr fontId="6" type="noConversion"/>
  </si>
  <si>
    <t>사회복지법인 서울가톨릭사회복지회의  2023년  세입 · 세출예산액은 각각 8,393,197천원이며</t>
    <phoneticPr fontId="6" type="noConversion"/>
  </si>
  <si>
    <t>2022년 제2차 추가경정예산 대비 8.2%  감소하였다.</t>
    <phoneticPr fontId="6" type="noConversion"/>
  </si>
  <si>
    <t>시설전출금+시설전출후원금</t>
    <phoneticPr fontId="6" type="noConversion"/>
  </si>
  <si>
    <t>서울가톨릭사회복지회 2023년  세입·세출 명세서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</si>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</sst>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  <numFmt numFmtId="179" formatCode="0.000%"/>
    <numFmt numFmtId="180" formatCode="0.0%"/>
    <numFmt numFmtId="181" formatCode="0_);[Red]\(0\)"/>
  </numFmts>
  <fonts count="21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67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0" fillId="0" borderId="0" xfId="0" applyNumberFormat="1" applyAlignment="1">
      <alignment horizontal="left" vertical="center"/>
    </xf>
    <xf numFmtId="41" fontId="8" fillId="0" borderId="2" xfId="2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41" fontId="9" fillId="0" borderId="0" xfId="2" applyFont="1">
      <alignment vertical="center"/>
    </xf>
    <xf numFmtId="41" fontId="8" fillId="2" borderId="44" xfId="4" applyFont="1" applyFill="1" applyBorder="1" applyAlignment="1">
      <alignment horizontal="center" vertical="center"/>
    </xf>
    <xf numFmtId="176" fontId="8" fillId="0" borderId="54" xfId="4" applyNumberFormat="1" applyFont="1" applyBorder="1" applyAlignment="1">
      <alignment horizontal="right" vertical="center"/>
    </xf>
    <xf numFmtId="176" fontId="8" fillId="0" borderId="51" xfId="4" applyNumberFormat="1" applyFont="1" applyBorder="1" applyAlignment="1">
      <alignment horizontal="right" vertical="center"/>
    </xf>
    <xf numFmtId="41" fontId="8" fillId="2" borderId="54" xfId="4" applyNumberFormat="1" applyFont="1" applyFill="1" applyBorder="1" applyAlignment="1">
      <alignment horizontal="center" vertical="center"/>
    </xf>
    <xf numFmtId="41" fontId="8" fillId="2" borderId="51" xfId="4" applyNumberFormat="1" applyFont="1" applyFill="1" applyBorder="1" applyAlignment="1">
      <alignment horizontal="center" vertical="center"/>
    </xf>
    <xf numFmtId="176" fontId="8" fillId="0" borderId="59" xfId="4" applyNumberFormat="1" applyFont="1" applyBorder="1" applyAlignment="1">
      <alignment horizontal="right" vertical="center"/>
    </xf>
    <xf numFmtId="41" fontId="8" fillId="0" borderId="59" xfId="4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 wrapText="1"/>
    </xf>
    <xf numFmtId="41" fontId="8" fillId="0" borderId="54" xfId="4" applyNumberFormat="1" applyFont="1" applyBorder="1" applyAlignment="1">
      <alignment horizontal="center" vertical="center"/>
    </xf>
    <xf numFmtId="41" fontId="8" fillId="0" borderId="51" xfId="4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41" fontId="8" fillId="2" borderId="59" xfId="4" applyNumberFormat="1" applyFont="1" applyFill="1" applyBorder="1" applyAlignment="1">
      <alignment horizontal="center" vertical="center"/>
    </xf>
    <xf numFmtId="41" fontId="8" fillId="2" borderId="54" xfId="4" applyFont="1" applyFill="1" applyBorder="1" applyAlignment="1">
      <alignment horizontal="center" vertical="center"/>
    </xf>
    <xf numFmtId="41" fontId="8" fillId="2" borderId="51" xfId="4" applyFont="1" applyFill="1" applyBorder="1" applyAlignment="1">
      <alignment horizontal="center" vertical="center"/>
    </xf>
    <xf numFmtId="177" fontId="8" fillId="0" borderId="54" xfId="4" applyNumberFormat="1" applyFont="1" applyBorder="1">
      <alignment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left" vertical="center"/>
    </xf>
    <xf numFmtId="41" fontId="3" fillId="0" borderId="0" xfId="2" applyNumberFormat="1" applyFont="1" applyAlignment="1">
      <alignment horizontal="left" vertical="center"/>
    </xf>
    <xf numFmtId="41" fontId="3" fillId="0" borderId="0" xfId="2" applyNumberFormat="1" applyFont="1" applyAlignment="1">
      <alignment vertical="center"/>
    </xf>
    <xf numFmtId="41" fontId="3" fillId="0" borderId="0" xfId="0" applyNumberFormat="1" applyFont="1" applyAlignment="1">
      <alignment horizontal="center" vertical="center"/>
    </xf>
    <xf numFmtId="41" fontId="3" fillId="0" borderId="0" xfId="2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 wrapText="1"/>
    </xf>
    <xf numFmtId="41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176" fontId="8" fillId="0" borderId="54" xfId="4" applyNumberFormat="1" applyFont="1" applyBorder="1" applyAlignment="1">
      <alignment horizontal="right" vertical="center"/>
    </xf>
    <xf numFmtId="176" fontId="8" fillId="0" borderId="51" xfId="4" applyNumberFormat="1" applyFont="1" applyBorder="1" applyAlignment="1">
      <alignment horizontal="right" vertical="center"/>
    </xf>
    <xf numFmtId="176" fontId="8" fillId="0" borderId="44" xfId="4" applyNumberFormat="1" applyFont="1" applyBorder="1" applyAlignment="1">
      <alignment horizontal="right" vertical="center"/>
    </xf>
    <xf numFmtId="177" fontId="8" fillId="0" borderId="54" xfId="4" applyNumberFormat="1" applyFont="1" applyBorder="1" applyAlignment="1">
      <alignment horizontal="right" vertical="center"/>
    </xf>
    <xf numFmtId="177" fontId="8" fillId="0" borderId="51" xfId="4" applyNumberFormat="1" applyFont="1" applyBorder="1" applyAlignment="1">
      <alignment horizontal="right" vertical="center"/>
    </xf>
    <xf numFmtId="177" fontId="8" fillId="0" borderId="44" xfId="4" applyNumberFormat="1" applyFont="1" applyBorder="1" applyAlignment="1">
      <alignment horizontal="right" vertical="center"/>
    </xf>
    <xf numFmtId="177" fontId="8" fillId="0" borderId="54" xfId="4" applyNumberFormat="1" applyFont="1" applyBorder="1">
      <alignment vertical="center"/>
    </xf>
    <xf numFmtId="177" fontId="8" fillId="0" borderId="51" xfId="4" applyNumberFormat="1" applyFont="1" applyBorder="1">
      <alignment vertical="center"/>
    </xf>
    <xf numFmtId="41" fontId="8" fillId="2" borderId="54" xfId="4" applyNumberFormat="1" applyFont="1" applyFill="1" applyBorder="1" applyAlignment="1">
      <alignment horizontal="center" vertical="center"/>
    </xf>
    <xf numFmtId="41" fontId="8" fillId="2" borderId="51" xfId="4" applyNumberFormat="1" applyFont="1" applyFill="1" applyBorder="1" applyAlignment="1">
      <alignment horizontal="center" vertical="center"/>
    </xf>
    <xf numFmtId="41" fontId="8" fillId="0" borderId="54" xfId="4" applyFont="1" applyBorder="1" applyAlignment="1">
      <alignment horizontal="center" vertical="center"/>
    </xf>
    <xf numFmtId="41" fontId="8" fillId="0" borderId="51" xfId="4" applyFont="1" applyBorder="1" applyAlignment="1">
      <alignment horizontal="center" vertical="center"/>
    </xf>
    <xf numFmtId="41" fontId="8" fillId="0" borderId="44" xfId="4" applyFont="1" applyBorder="1" applyAlignment="1">
      <alignment horizontal="center" vertical="center"/>
    </xf>
    <xf numFmtId="41" fontId="8" fillId="2" borderId="59" xfId="4" applyNumberFormat="1" applyFont="1" applyFill="1" applyBorder="1" applyAlignment="1">
      <alignment horizontal="center" vertical="center"/>
    </xf>
    <xf numFmtId="41" fontId="8" fillId="2" borderId="54" xfId="4" applyFont="1" applyFill="1" applyBorder="1" applyAlignment="1">
      <alignment horizontal="center" vertical="center"/>
    </xf>
    <xf numFmtId="41" fontId="8" fillId="2" borderId="51" xfId="4" applyFont="1" applyFill="1" applyBorder="1" applyAlignment="1">
      <alignment horizontal="center" vertical="center"/>
    </xf>
    <xf numFmtId="41" fontId="8" fillId="0" borderId="54" xfId="4" applyNumberFormat="1" applyFont="1" applyBorder="1" applyAlignment="1">
      <alignment horizontal="center" vertical="center"/>
    </xf>
    <xf numFmtId="41" fontId="8" fillId="0" borderId="51" xfId="4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 vertical="center" wrapText="1"/>
    </xf>
    <xf numFmtId="0" fontId="7" fillId="0" borderId="24" xfId="0" applyNumberFormat="1" applyFont="1" applyBorder="1" applyAlignment="1">
      <alignment horizontal="center" vertical="center" wrapText="1"/>
    </xf>
    <xf numFmtId="0" fontId="7" fillId="0" borderId="13" xfId="0" applyNumberFormat="1" applyFont="1" applyBorder="1" applyAlignment="1">
      <alignment horizontal="center" vertical="center" wrapText="1"/>
    </xf>
    <xf numFmtId="41" fontId="8" fillId="0" borderId="44" xfId="4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41" fontId="8" fillId="0" borderId="59" xfId="4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7" fontId="8" fillId="0" borderId="54" xfId="4" applyNumberFormat="1" applyFont="1" applyBorder="1" applyAlignment="1">
      <alignment vertical="center"/>
    </xf>
    <xf numFmtId="177" fontId="8" fillId="0" borderId="44" xfId="4" applyNumberFormat="1" applyFont="1" applyBorder="1" applyAlignment="1">
      <alignment vertical="center"/>
    </xf>
    <xf numFmtId="176" fontId="8" fillId="0" borderId="59" xfId="4" applyNumberFormat="1" applyFont="1" applyBorder="1" applyAlignment="1">
      <alignment horizontal="right" vertical="center"/>
    </xf>
    <xf numFmtId="0" fontId="10" fillId="0" borderId="0" xfId="0" applyNumberFormat="1" applyFont="1" applyAlignment="1">
      <alignment horizontal="center" vertical="center"/>
    </xf>
    <xf numFmtId="0" fontId="8" fillId="0" borderId="0" xfId="0" applyNumberFormat="1" applyFont="1">
      <alignment vertical="center"/>
    </xf>
    <xf numFmtId="41" fontId="8" fillId="0" borderId="0" xfId="2" applyNumberFormat="1" applyFont="1">
      <alignment vertical="center"/>
    </xf>
    <xf numFmtId="0" fontId="10" fillId="0" borderId="0" xfId="0" applyNumberFormat="1" applyFont="1" applyAlignment="1">
      <alignment horizontal="center" vertical="center"/>
    </xf>
    <xf numFmtId="0" fontId="11" fillId="0" borderId="6" xfId="0" applyNumberFormat="1" applyFont="1" applyBorder="1" applyAlignment="1">
      <alignment horizontal="left" vertical="center"/>
    </xf>
    <xf numFmtId="0" fontId="12" fillId="0" borderId="0" xfId="0" applyNumberFormat="1" applyFont="1" applyAlignment="1">
      <alignment horizontal="center" vertical="center"/>
    </xf>
    <xf numFmtId="3" fontId="12" fillId="0" borderId="0" xfId="2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0" fontId="8" fillId="0" borderId="0" xfId="0" applyNumberFormat="1" applyFont="1" applyAlignment="1">
      <alignment horizontal="right" vertical="center"/>
    </xf>
    <xf numFmtId="0" fontId="13" fillId="0" borderId="23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72" xfId="0" applyNumberFormat="1" applyFont="1" applyBorder="1" applyAlignment="1">
      <alignment horizontal="center" vertical="center"/>
    </xf>
    <xf numFmtId="41" fontId="13" fillId="0" borderId="1" xfId="2" applyNumberFormat="1" applyFont="1" applyBorder="1" applyAlignment="1">
      <alignment horizontal="center" vertical="center" wrapText="1"/>
    </xf>
    <xf numFmtId="41" fontId="13" fillId="0" borderId="71" xfId="4" applyNumberFormat="1" applyFont="1" applyBorder="1" applyAlignment="1">
      <alignment horizontal="center" vertical="center" wrapText="1"/>
    </xf>
    <xf numFmtId="41" fontId="13" fillId="0" borderId="11" xfId="2" applyNumberFormat="1" applyFont="1" applyBorder="1" applyAlignment="1">
      <alignment horizontal="center" vertical="center"/>
    </xf>
    <xf numFmtId="0" fontId="13" fillId="0" borderId="71" xfId="0" applyNumberFormat="1" applyFont="1" applyBorder="1" applyAlignment="1">
      <alignment horizontal="center" vertical="center"/>
    </xf>
    <xf numFmtId="0" fontId="13" fillId="0" borderId="68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0" fontId="13" fillId="0" borderId="12" xfId="0" applyNumberFormat="1" applyFont="1" applyBorder="1" applyAlignment="1">
      <alignment horizontal="center" vertical="center"/>
    </xf>
    <xf numFmtId="0" fontId="13" fillId="0" borderId="62" xfId="0" applyNumberFormat="1" applyFont="1" applyBorder="1" applyAlignment="1">
      <alignment horizontal="center" vertical="center"/>
    </xf>
    <xf numFmtId="41" fontId="13" fillId="0" borderId="12" xfId="2" applyNumberFormat="1" applyFont="1" applyBorder="1" applyAlignment="1">
      <alignment horizontal="center" vertical="center" wrapText="1"/>
    </xf>
    <xf numFmtId="41" fontId="13" fillId="0" borderId="70" xfId="4" applyNumberFormat="1" applyFont="1" applyBorder="1" applyAlignment="1">
      <alignment horizontal="center" vertical="center" wrapText="1"/>
    </xf>
    <xf numFmtId="3" fontId="13" fillId="0" borderId="5" xfId="2" applyNumberFormat="1" applyFont="1" applyBorder="1" applyAlignment="1">
      <alignment horizontal="center" vertical="center"/>
    </xf>
    <xf numFmtId="178" fontId="13" fillId="0" borderId="5" xfId="2" applyNumberFormat="1" applyFont="1" applyBorder="1" applyAlignment="1">
      <alignment horizontal="center" vertical="center"/>
    </xf>
    <xf numFmtId="0" fontId="13" fillId="0" borderId="70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42" xfId="0" applyNumberFormat="1" applyFont="1" applyBorder="1" applyAlignment="1">
      <alignment horizontal="center" vertical="center"/>
    </xf>
    <xf numFmtId="0" fontId="13" fillId="0" borderId="29" xfId="0" applyNumberFormat="1" applyFont="1" applyBorder="1" applyAlignment="1">
      <alignment horizontal="center" vertical="center"/>
    </xf>
    <xf numFmtId="0" fontId="13" fillId="0" borderId="67" xfId="0" applyNumberFormat="1" applyFont="1" applyBorder="1" applyAlignment="1">
      <alignment horizontal="center" vertical="center"/>
    </xf>
    <xf numFmtId="41" fontId="13" fillId="0" borderId="29" xfId="2" applyNumberFormat="1" applyFont="1" applyBorder="1" applyAlignment="1">
      <alignment horizontal="center" vertical="center"/>
    </xf>
    <xf numFmtId="41" fontId="13" fillId="0" borderId="30" xfId="4" applyNumberFormat="1" applyFont="1" applyBorder="1" applyAlignment="1">
      <alignment horizontal="center" vertical="center"/>
    </xf>
    <xf numFmtId="3" fontId="13" fillId="0" borderId="29" xfId="2" applyNumberFormat="1" applyFont="1" applyBorder="1" applyAlignment="1">
      <alignment horizontal="right" vertical="center"/>
    </xf>
    <xf numFmtId="178" fontId="13" fillId="0" borderId="29" xfId="2" applyNumberFormat="1" applyFont="1" applyBorder="1" applyAlignment="1">
      <alignment horizontal="right" vertical="center"/>
    </xf>
    <xf numFmtId="0" fontId="14" fillId="0" borderId="31" xfId="0" applyNumberFormat="1" applyFont="1" applyBorder="1">
      <alignment vertical="center"/>
    </xf>
    <xf numFmtId="0" fontId="14" fillId="0" borderId="31" xfId="0" applyNumberFormat="1" applyFont="1" applyBorder="1" applyAlignment="1">
      <alignment horizontal="center" vertical="center"/>
    </xf>
    <xf numFmtId="41" fontId="15" fillId="0" borderId="31" xfId="0" applyNumberFormat="1" applyFont="1" applyBorder="1">
      <alignment vertical="center"/>
    </xf>
    <xf numFmtId="0" fontId="15" fillId="0" borderId="32" xfId="0" applyNumberFormat="1" applyFont="1" applyBorder="1">
      <alignment vertical="center"/>
    </xf>
    <xf numFmtId="0" fontId="16" fillId="0" borderId="2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16" fillId="0" borderId="36" xfId="0" applyNumberFormat="1" applyFont="1" applyBorder="1" applyAlignment="1">
      <alignment horizontal="center" vertical="center"/>
    </xf>
    <xf numFmtId="41" fontId="16" fillId="0" borderId="4" xfId="2" applyNumberFormat="1" applyFont="1" applyBorder="1" applyAlignment="1">
      <alignment horizontal="center" vertical="center"/>
    </xf>
    <xf numFmtId="41" fontId="16" fillId="0" borderId="33" xfId="2" applyNumberFormat="1" applyFont="1" applyBorder="1" applyAlignment="1">
      <alignment horizontal="center" vertical="center"/>
    </xf>
    <xf numFmtId="41" fontId="16" fillId="0" borderId="33" xfId="4" applyNumberFormat="1" applyFont="1" applyBorder="1" applyAlignment="1">
      <alignment horizontal="center" vertical="center"/>
    </xf>
    <xf numFmtId="3" fontId="16" fillId="0" borderId="17" xfId="2" applyNumberFormat="1" applyFont="1" applyBorder="1" applyAlignment="1">
      <alignment horizontal="right" vertical="center"/>
    </xf>
    <xf numFmtId="178" fontId="16" fillId="0" borderId="17" xfId="2" applyNumberFormat="1" applyFont="1" applyBorder="1" applyAlignment="1">
      <alignment horizontal="right" vertical="center"/>
    </xf>
    <xf numFmtId="0" fontId="14" fillId="0" borderId="0" xfId="0" applyNumberFormat="1" applyFont="1">
      <alignment vertical="center"/>
    </xf>
    <xf numFmtId="0" fontId="14" fillId="0" borderId="0" xfId="0" applyNumberFormat="1" applyFont="1" applyAlignment="1">
      <alignment horizontal="center" vertical="center"/>
    </xf>
    <xf numFmtId="41" fontId="15" fillId="0" borderId="0" xfId="0" applyNumberFormat="1" applyFont="1">
      <alignment vertical="center"/>
    </xf>
    <xf numFmtId="0" fontId="15" fillId="0" borderId="25" xfId="0" applyNumberFormat="1" applyFont="1" applyBorder="1">
      <alignment vertical="center"/>
    </xf>
    <xf numFmtId="0" fontId="7" fillId="0" borderId="0" xfId="0" applyNumberFormat="1" applyFont="1">
      <alignment vertical="center"/>
    </xf>
    <xf numFmtId="41" fontId="7" fillId="0" borderId="0" xfId="2" applyNumberFormat="1" applyFont="1">
      <alignment vertical="center"/>
    </xf>
    <xf numFmtId="0" fontId="16" fillId="0" borderId="9" xfId="0" applyNumberFormat="1" applyFont="1" applyBorder="1" applyAlignment="1">
      <alignment horizontal="center" vertical="center" shrinkToFit="1"/>
    </xf>
    <xf numFmtId="0" fontId="8" fillId="0" borderId="35" xfId="0" applyNumberFormat="1" applyFont="1" applyBorder="1" applyAlignment="1">
      <alignment horizontal="center" vertical="center"/>
    </xf>
    <xf numFmtId="41" fontId="8" fillId="0" borderId="9" xfId="2" applyNumberFormat="1" applyFont="1" applyBorder="1" applyAlignment="1">
      <alignment horizontal="center" vertical="center"/>
    </xf>
    <xf numFmtId="41" fontId="8" fillId="0" borderId="34" xfId="2" applyNumberFormat="1" applyFont="1" applyBorder="1" applyAlignment="1">
      <alignment horizontal="center" vertical="center"/>
    </xf>
    <xf numFmtId="41" fontId="9" fillId="0" borderId="34" xfId="4" applyNumberFormat="1" applyFont="1" applyBorder="1" applyAlignment="1">
      <alignment horizontal="center" vertical="center"/>
    </xf>
    <xf numFmtId="3" fontId="8" fillId="0" borderId="8" xfId="2" applyNumberFormat="1" applyFont="1" applyBorder="1" applyAlignment="1">
      <alignment horizontal="right" vertical="center"/>
    </xf>
    <xf numFmtId="178" fontId="8" fillId="0" borderId="8" xfId="2" applyNumberFormat="1" applyFont="1" applyBorder="1" applyAlignment="1">
      <alignment horizontal="right" vertical="center"/>
    </xf>
    <xf numFmtId="0" fontId="14" fillId="0" borderId="26" xfId="0" applyNumberFormat="1" applyFont="1" applyBorder="1">
      <alignment vertical="center"/>
    </xf>
    <xf numFmtId="0" fontId="14" fillId="0" borderId="26" xfId="0" applyNumberFormat="1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NumberFormat="1" applyFont="1" applyBorder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 shrinkToFit="1"/>
    </xf>
    <xf numFmtId="0" fontId="8" fillId="0" borderId="35" xfId="0" applyNumberFormat="1" applyFont="1" applyBorder="1" applyAlignment="1">
      <alignment horizontal="center" vertical="center"/>
    </xf>
    <xf numFmtId="41" fontId="8" fillId="0" borderId="9" xfId="2" applyNumberFormat="1" applyFont="1" applyBorder="1" applyAlignment="1">
      <alignment horizontal="center" vertical="center"/>
    </xf>
    <xf numFmtId="41" fontId="8" fillId="0" borderId="34" xfId="2" applyNumberFormat="1" applyFont="1" applyBorder="1" applyAlignment="1">
      <alignment horizontal="center" vertical="center"/>
    </xf>
    <xf numFmtId="41" fontId="8" fillId="0" borderId="34" xfId="4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0" fontId="7" fillId="0" borderId="35" xfId="0" applyNumberFormat="1" applyFont="1" applyBorder="1" applyAlignment="1">
      <alignment horizontal="left" vertical="center"/>
    </xf>
    <xf numFmtId="41" fontId="7" fillId="0" borderId="26" xfId="2" applyNumberFormat="1" applyFont="1" applyBorder="1">
      <alignment vertical="center"/>
    </xf>
    <xf numFmtId="0" fontId="7" fillId="0" borderId="26" xfId="0" applyNumberFormat="1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36" xfId="0" applyNumberFormat="1" applyFont="1" applyBorder="1" applyAlignment="1">
      <alignment horizontal="center" vertical="center"/>
    </xf>
    <xf numFmtId="41" fontId="8" fillId="0" borderId="4" xfId="2" applyNumberFormat="1" applyFont="1" applyBorder="1" applyAlignment="1">
      <alignment horizontal="center" vertical="center"/>
    </xf>
    <xf numFmtId="41" fontId="8" fillId="0" borderId="33" xfId="2" applyNumberFormat="1" applyFont="1" applyBorder="1" applyAlignment="1">
      <alignment horizontal="center" vertical="center"/>
    </xf>
    <xf numFmtId="41" fontId="8" fillId="0" borderId="33" xfId="4" applyNumberFormat="1" applyFont="1" applyBorder="1" applyAlignment="1">
      <alignment horizontal="center" vertical="center"/>
    </xf>
    <xf numFmtId="176" fontId="8" fillId="0" borderId="4" xfId="2" applyNumberFormat="1" applyFont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7" fillId="0" borderId="36" xfId="0" applyNumberFormat="1" applyFont="1" applyBorder="1" applyAlignment="1">
      <alignment horizontal="left" vertical="center" shrinkToFit="1"/>
    </xf>
    <xf numFmtId="41" fontId="7" fillId="0" borderId="0" xfId="4" applyNumberFormat="1" applyFont="1">
      <alignment vertical="center"/>
    </xf>
    <xf numFmtId="0" fontId="7" fillId="0" borderId="0" xfId="0" applyNumberFormat="1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7" fillId="0" borderId="25" xfId="0" applyNumberFormat="1" applyFont="1" applyBorder="1">
      <alignment vertical="center"/>
    </xf>
    <xf numFmtId="41" fontId="8" fillId="0" borderId="37" xfId="4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left" vertical="center"/>
    </xf>
    <xf numFmtId="0" fontId="8" fillId="0" borderId="40" xfId="0" applyNumberFormat="1" applyFont="1" applyBorder="1" applyAlignment="1">
      <alignment horizontal="center" vertical="center"/>
    </xf>
    <xf numFmtId="41" fontId="8" fillId="0" borderId="3" xfId="2" applyNumberFormat="1" applyFont="1" applyBorder="1" applyAlignment="1">
      <alignment horizontal="center" vertical="center"/>
    </xf>
    <xf numFmtId="41" fontId="8" fillId="0" borderId="37" xfId="2" applyNumberFormat="1" applyFont="1" applyBorder="1" applyAlignment="1">
      <alignment horizontal="center" vertical="center"/>
    </xf>
    <xf numFmtId="176" fontId="8" fillId="0" borderId="3" xfId="2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41" fontId="7" fillId="0" borderId="28" xfId="2" applyNumberFormat="1" applyFont="1" applyBorder="1">
      <alignment vertical="center"/>
    </xf>
    <xf numFmtId="3" fontId="8" fillId="0" borderId="9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0" fontId="17" fillId="0" borderId="26" xfId="0" applyNumberFormat="1" applyFont="1" applyBorder="1" applyAlignment="1">
      <alignment horizontal="center" vertical="center"/>
    </xf>
    <xf numFmtId="41" fontId="7" fillId="0" borderId="26" xfId="4" applyNumberFormat="1" applyFont="1" applyBorder="1">
      <alignment vertical="center"/>
    </xf>
    <xf numFmtId="3" fontId="8" fillId="0" borderId="4" xfId="2" applyNumberFormat="1" applyFont="1" applyBorder="1" applyAlignment="1">
      <alignment horizontal="right" vertical="center"/>
    </xf>
    <xf numFmtId="178" fontId="8" fillId="0" borderId="4" xfId="2" applyNumberFormat="1" applyFont="1" applyBorder="1" applyAlignment="1">
      <alignment horizontal="right" vertical="center"/>
    </xf>
    <xf numFmtId="0" fontId="7" fillId="0" borderId="0" xfId="0" quotePrefix="1" applyNumberFormat="1" applyFont="1" applyAlignment="1">
      <alignment horizontal="center" vertical="center"/>
    </xf>
    <xf numFmtId="0" fontId="8" fillId="0" borderId="35" xfId="0" applyNumberFormat="1" applyFont="1" applyBorder="1" applyAlignment="1">
      <alignment horizontal="center" vertical="center" wrapText="1"/>
    </xf>
    <xf numFmtId="41" fontId="8" fillId="0" borderId="9" xfId="4" applyNumberFormat="1" applyFont="1" applyBorder="1" applyAlignment="1">
      <alignment horizontal="center" vertical="center"/>
    </xf>
    <xf numFmtId="0" fontId="8" fillId="0" borderId="36" xfId="0" applyNumberFormat="1" applyFont="1" applyBorder="1" applyAlignment="1">
      <alignment horizontal="center" vertical="center" wrapText="1"/>
    </xf>
    <xf numFmtId="41" fontId="8" fillId="0" borderId="4" xfId="4" applyNumberFormat="1" applyFont="1" applyBorder="1" applyAlignment="1">
      <alignment horizontal="center" vertical="center"/>
    </xf>
    <xf numFmtId="0" fontId="16" fillId="0" borderId="14" xfId="0" applyNumberFormat="1" applyFont="1" applyBorder="1" applyAlignment="1">
      <alignment horizontal="center" vertical="center" shrinkToFit="1"/>
    </xf>
    <xf numFmtId="0" fontId="16" fillId="0" borderId="8" xfId="0" applyNumberFormat="1" applyFont="1" applyBorder="1" applyAlignment="1">
      <alignment horizontal="center" vertical="center"/>
    </xf>
    <xf numFmtId="0" fontId="16" fillId="0" borderId="20" xfId="0" applyNumberFormat="1" applyFont="1" applyBorder="1" applyAlignment="1">
      <alignment horizontal="center" vertical="center"/>
    </xf>
    <xf numFmtId="41" fontId="16" fillId="0" borderId="8" xfId="2" applyNumberFormat="1" applyFont="1" applyBorder="1" applyAlignment="1">
      <alignment horizontal="center" vertical="center"/>
    </xf>
    <xf numFmtId="41" fontId="16" fillId="0" borderId="38" xfId="2" applyNumberFormat="1" applyFont="1" applyBorder="1" applyAlignment="1">
      <alignment horizontal="center" vertical="center"/>
    </xf>
    <xf numFmtId="41" fontId="16" fillId="0" borderId="8" xfId="4" applyNumberFormat="1" applyFont="1" applyBorder="1" applyAlignment="1">
      <alignment horizontal="center" vertical="center"/>
    </xf>
    <xf numFmtId="3" fontId="16" fillId="0" borderId="8" xfId="2" applyNumberFormat="1" applyFont="1" applyBorder="1" applyAlignment="1">
      <alignment horizontal="right" vertical="center"/>
    </xf>
    <xf numFmtId="178" fontId="16" fillId="0" borderId="8" xfId="2" applyNumberFormat="1" applyFont="1" applyBorder="1" applyAlignment="1">
      <alignment horizontal="right" vertical="center"/>
    </xf>
    <xf numFmtId="0" fontId="7" fillId="0" borderId="39" xfId="0" applyNumberFormat="1" applyFont="1" applyBorder="1">
      <alignment vertical="center"/>
    </xf>
    <xf numFmtId="0" fontId="7" fillId="0" borderId="39" xfId="0" applyNumberFormat="1" applyFont="1" applyBorder="1" applyAlignment="1">
      <alignment horizontal="center" vertical="center"/>
    </xf>
    <xf numFmtId="41" fontId="15" fillId="0" borderId="39" xfId="0" applyNumberFormat="1" applyFont="1" applyBorder="1">
      <alignment vertical="center"/>
    </xf>
    <xf numFmtId="0" fontId="15" fillId="0" borderId="22" xfId="0" applyNumberFormat="1" applyFont="1" applyBorder="1">
      <alignment vertical="center"/>
    </xf>
    <xf numFmtId="0" fontId="8" fillId="0" borderId="36" xfId="0" applyNumberFormat="1" applyFont="1" applyBorder="1" applyAlignment="1">
      <alignment horizontal="center" vertical="center"/>
    </xf>
    <xf numFmtId="41" fontId="8" fillId="0" borderId="4" xfId="2" applyNumberFormat="1" applyFont="1" applyBorder="1" applyAlignment="1">
      <alignment horizontal="center" vertical="center"/>
    </xf>
    <xf numFmtId="41" fontId="8" fillId="0" borderId="37" xfId="2" applyNumberFormat="1" applyFont="1" applyBorder="1" applyAlignment="1">
      <alignment horizontal="center" vertical="center"/>
    </xf>
    <xf numFmtId="41" fontId="9" fillId="0" borderId="3" xfId="4" applyNumberFormat="1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41" fontId="7" fillId="0" borderId="0" xfId="0" applyNumberFormat="1" applyFont="1">
      <alignment vertical="center"/>
    </xf>
    <xf numFmtId="0" fontId="8" fillId="0" borderId="9" xfId="0" applyNumberFormat="1" applyFont="1" applyBorder="1" applyAlignment="1">
      <alignment horizontal="center" vertical="center"/>
    </xf>
    <xf numFmtId="0" fontId="15" fillId="0" borderId="35" xfId="0" applyNumberFormat="1" applyFont="1" applyBorder="1" applyAlignment="1">
      <alignment horizontal="center" vertical="center"/>
    </xf>
    <xf numFmtId="0" fontId="15" fillId="0" borderId="26" xfId="0" applyNumberFormat="1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7" fillId="0" borderId="0" xfId="0" quotePrefix="1" applyFont="1" applyAlignment="1">
      <alignment horizontal="center" vertical="center"/>
    </xf>
    <xf numFmtId="0" fontId="7" fillId="0" borderId="25" xfId="0" applyFont="1" applyBorder="1">
      <alignment vertical="center"/>
    </xf>
    <xf numFmtId="0" fontId="16" fillId="0" borderId="15" xfId="0" applyNumberFormat="1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41" fontId="8" fillId="0" borderId="3" xfId="4" applyNumberFormat="1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0" fontId="7" fillId="0" borderId="40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7" fillId="0" borderId="28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6" fontId="16" fillId="0" borderId="38" xfId="2" applyNumberFormat="1" applyFont="1" applyBorder="1" applyAlignment="1">
      <alignment horizontal="right" vertical="center"/>
    </xf>
    <xf numFmtId="176" fontId="16" fillId="0" borderId="38" xfId="4" applyNumberFormat="1" applyFont="1" applyBorder="1" applyAlignment="1">
      <alignment horizontal="center" vertical="center"/>
    </xf>
    <xf numFmtId="176" fontId="16" fillId="0" borderId="8" xfId="2" applyNumberFormat="1" applyFont="1" applyBorder="1" applyAlignment="1">
      <alignment horizontal="right" vertical="center"/>
    </xf>
    <xf numFmtId="0" fontId="15" fillId="0" borderId="39" xfId="0" applyNumberFormat="1" applyFont="1" applyBorder="1">
      <alignment vertical="center"/>
    </xf>
    <xf numFmtId="0" fontId="15" fillId="0" borderId="39" xfId="0" applyNumberFormat="1" applyFont="1" applyBorder="1" applyAlignment="1">
      <alignment horizontal="center" vertical="center"/>
    </xf>
    <xf numFmtId="0" fontId="8" fillId="0" borderId="20" xfId="0" applyNumberFormat="1" applyFont="1" applyBorder="1" applyAlignment="1">
      <alignment horizontal="center" vertical="center"/>
    </xf>
    <xf numFmtId="41" fontId="8" fillId="0" borderId="8" xfId="2" applyNumberFormat="1" applyFont="1" applyBorder="1" applyAlignment="1">
      <alignment horizontal="center" vertical="center"/>
    </xf>
    <xf numFmtId="176" fontId="8" fillId="0" borderId="38" xfId="2" applyNumberFormat="1" applyFont="1" applyBorder="1" applyAlignment="1">
      <alignment horizontal="right" vertical="center"/>
    </xf>
    <xf numFmtId="176" fontId="9" fillId="0" borderId="38" xfId="4" applyNumberFormat="1" applyFont="1" applyBorder="1" applyAlignment="1">
      <alignment horizontal="center" vertical="center"/>
    </xf>
    <xf numFmtId="176" fontId="8" fillId="0" borderId="8" xfId="2" applyNumberFormat="1" applyFont="1" applyBorder="1" applyAlignment="1">
      <alignment horizontal="right" vertical="center"/>
    </xf>
    <xf numFmtId="0" fontId="7" fillId="0" borderId="20" xfId="0" applyNumberFormat="1" applyFont="1" applyBorder="1">
      <alignment vertical="center"/>
    </xf>
    <xf numFmtId="41" fontId="7" fillId="0" borderId="39" xfId="0" applyNumberFormat="1" applyFont="1" applyBorder="1">
      <alignment vertical="center"/>
    </xf>
    <xf numFmtId="0" fontId="7" fillId="0" borderId="22" xfId="0" applyNumberFormat="1" applyFont="1" applyBorder="1">
      <alignment vertical="center"/>
    </xf>
    <xf numFmtId="176" fontId="8" fillId="0" borderId="34" xfId="2" applyNumberFormat="1" applyFont="1" applyBorder="1" applyAlignment="1">
      <alignment horizontal="right" vertical="center"/>
    </xf>
    <xf numFmtId="176" fontId="8" fillId="0" borderId="9" xfId="4" applyNumberFormat="1" applyFont="1" applyBorder="1" applyAlignment="1">
      <alignment horizontal="center" vertical="center"/>
    </xf>
    <xf numFmtId="176" fontId="8" fillId="0" borderId="0" xfId="2" applyNumberFormat="1" applyFont="1" applyAlignment="1">
      <alignment vertical="center"/>
    </xf>
    <xf numFmtId="177" fontId="8" fillId="0" borderId="9" xfId="2" applyNumberFormat="1" applyFont="1" applyBorder="1" applyAlignment="1">
      <alignment horizontal="right" vertical="center"/>
    </xf>
    <xf numFmtId="0" fontId="7" fillId="0" borderId="36" xfId="0" applyNumberFormat="1" applyFont="1" applyBorder="1">
      <alignment vertical="center"/>
    </xf>
    <xf numFmtId="176" fontId="8" fillId="0" borderId="33" xfId="2" applyNumberFormat="1" applyFont="1" applyBorder="1" applyAlignment="1">
      <alignment horizontal="right" vertical="center"/>
    </xf>
    <xf numFmtId="176" fontId="8" fillId="0" borderId="4" xfId="4" applyNumberFormat="1" applyFont="1" applyBorder="1" applyAlignment="1">
      <alignment horizontal="center" vertical="center"/>
    </xf>
    <xf numFmtId="177" fontId="8" fillId="0" borderId="4" xfId="2" applyNumberFormat="1" applyFont="1" applyBorder="1" applyAlignment="1">
      <alignment horizontal="right" vertical="center"/>
    </xf>
    <xf numFmtId="0" fontId="16" fillId="0" borderId="14" xfId="0" applyNumberFormat="1" applyFont="1" applyBorder="1" applyAlignment="1">
      <alignment horizontal="center" vertical="center"/>
    </xf>
    <xf numFmtId="0" fontId="16" fillId="0" borderId="39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41" fontId="8" fillId="0" borderId="33" xfId="2" applyNumberFormat="1" applyFont="1" applyBorder="1" applyAlignment="1">
      <alignment horizontal="center" vertical="center"/>
    </xf>
    <xf numFmtId="41" fontId="8" fillId="0" borderId="4" xfId="4" applyNumberFormat="1" applyFont="1" applyBorder="1" applyAlignment="1">
      <alignment horizontal="center" vertical="center"/>
    </xf>
    <xf numFmtId="0" fontId="7" fillId="0" borderId="26" xfId="0" applyNumberFormat="1" applyFont="1" applyBorder="1">
      <alignment vertical="center"/>
    </xf>
    <xf numFmtId="41" fontId="7" fillId="0" borderId="0" xfId="4" applyNumberFormat="1" applyFont="1" applyAlignment="1">
      <alignment horizontal="center" vertical="center"/>
    </xf>
    <xf numFmtId="0" fontId="15" fillId="0" borderId="35" xfId="0" applyNumberFormat="1" applyFont="1" applyBorder="1" applyAlignment="1">
      <alignment horizontal="left" vertical="center"/>
    </xf>
    <xf numFmtId="0" fontId="7" fillId="3" borderId="36" xfId="0" applyNumberFormat="1" applyFont="1" applyFill="1" applyBorder="1" applyAlignment="1">
      <alignment horizontal="left" vertical="center"/>
    </xf>
    <xf numFmtId="41" fontId="7" fillId="3" borderId="0" xfId="4" applyNumberFormat="1" applyFont="1" applyFill="1">
      <alignment vertical="center"/>
    </xf>
    <xf numFmtId="0" fontId="7" fillId="3" borderId="0" xfId="0" applyNumberFormat="1" applyFont="1" applyFill="1" applyAlignment="1">
      <alignment horizontal="center" vertical="center"/>
    </xf>
    <xf numFmtId="0" fontId="17" fillId="3" borderId="0" xfId="0" applyNumberFormat="1" applyFont="1" applyFill="1" applyAlignment="1">
      <alignment horizontal="center" vertical="center"/>
    </xf>
    <xf numFmtId="0" fontId="7" fillId="3" borderId="0" xfId="0" quotePrefix="1" applyNumberFormat="1" applyFont="1" applyFill="1" applyAlignment="1">
      <alignment horizontal="center" vertical="center"/>
    </xf>
    <xf numFmtId="0" fontId="7" fillId="3" borderId="25" xfId="0" applyNumberFormat="1" applyFont="1" applyFill="1" applyBorder="1">
      <alignment vertical="center"/>
    </xf>
    <xf numFmtId="41" fontId="8" fillId="0" borderId="3" xfId="4" applyNumberFormat="1" applyFont="1" applyBorder="1" applyAlignment="1">
      <alignment horizontal="center" vertical="center"/>
    </xf>
    <xf numFmtId="0" fontId="7" fillId="0" borderId="40" xfId="0" applyNumberFormat="1" applyFont="1" applyBorder="1" applyAlignment="1">
      <alignment horizontal="left" vertical="center" shrinkToFit="1"/>
    </xf>
    <xf numFmtId="41" fontId="7" fillId="0" borderId="28" xfId="4" applyNumberFormat="1" applyFont="1" applyBorder="1">
      <alignment vertical="center"/>
    </xf>
    <xf numFmtId="0" fontId="7" fillId="0" borderId="28" xfId="0" applyNumberFormat="1" applyFont="1" applyBorder="1" applyAlignment="1">
      <alignment horizontal="center" vertical="center"/>
    </xf>
    <xf numFmtId="0" fontId="17" fillId="0" borderId="28" xfId="0" applyNumberFormat="1" applyFont="1" applyBorder="1" applyAlignment="1">
      <alignment horizontal="center" vertical="center"/>
    </xf>
    <xf numFmtId="0" fontId="7" fillId="0" borderId="28" xfId="0" quotePrefix="1" applyNumberFormat="1" applyFont="1" applyBorder="1" applyAlignment="1">
      <alignment horizontal="center" vertical="center"/>
    </xf>
    <xf numFmtId="0" fontId="7" fillId="0" borderId="18" xfId="0" applyNumberFormat="1" applyFont="1" applyBorder="1">
      <alignment vertical="center"/>
    </xf>
    <xf numFmtId="0" fontId="7" fillId="0" borderId="16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41" fontId="8" fillId="0" borderId="9" xfId="4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62" xfId="0" applyNumberFormat="1" applyFont="1" applyBorder="1" applyAlignment="1">
      <alignment horizontal="center" vertical="center"/>
    </xf>
    <xf numFmtId="41" fontId="8" fillId="0" borderId="12" xfId="2" applyNumberFormat="1" applyFont="1" applyBorder="1" applyAlignment="1">
      <alignment horizontal="center" vertical="center"/>
    </xf>
    <xf numFmtId="176" fontId="8" fillId="0" borderId="70" xfId="2" applyNumberFormat="1" applyFont="1" applyBorder="1" applyAlignment="1">
      <alignment horizontal="right" vertical="center"/>
    </xf>
    <xf numFmtId="41" fontId="8" fillId="0" borderId="12" xfId="4" applyNumberFormat="1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right" vertical="center"/>
    </xf>
    <xf numFmtId="178" fontId="8" fillId="0" borderId="12" xfId="2" applyNumberFormat="1" applyFont="1" applyBorder="1" applyAlignment="1">
      <alignment horizontal="right" vertical="center"/>
    </xf>
    <xf numFmtId="0" fontId="7" fillId="0" borderId="6" xfId="0" quotePrefix="1" applyNumberFormat="1" applyFont="1" applyBorder="1" applyAlignment="1">
      <alignment horizontal="left" vertical="center" shrinkToFit="1"/>
    </xf>
    <xf numFmtId="41" fontId="7" fillId="0" borderId="6" xfId="4" applyNumberFormat="1" applyFont="1" applyBorder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17" fillId="0" borderId="6" xfId="0" applyNumberFormat="1" applyFont="1" applyBorder="1" applyAlignment="1">
      <alignment horizontal="center" vertical="center"/>
    </xf>
    <xf numFmtId="0" fontId="7" fillId="0" borderId="6" xfId="0" quotePrefix="1" applyNumberFormat="1" applyFont="1" applyBorder="1" applyAlignment="1">
      <alignment horizontal="center" vertical="center"/>
    </xf>
    <xf numFmtId="0" fontId="7" fillId="0" borderId="61" xfId="0" applyNumberFormat="1" applyFont="1" applyBorder="1">
      <alignment vertical="center"/>
    </xf>
    <xf numFmtId="178" fontId="8" fillId="0" borderId="3" xfId="2" applyNumberFormat="1" applyFont="1" applyBorder="1" applyAlignment="1">
      <alignment horizontal="right" vertical="center"/>
    </xf>
    <xf numFmtId="0" fontId="8" fillId="0" borderId="20" xfId="0" applyNumberFormat="1" applyFont="1" applyBorder="1" applyAlignment="1">
      <alignment horizontal="center" vertical="center"/>
    </xf>
    <xf numFmtId="177" fontId="8" fillId="0" borderId="3" xfId="2" applyNumberFormat="1" applyFont="1" applyBorder="1" applyAlignment="1">
      <alignment horizontal="right" vertical="center"/>
    </xf>
    <xf numFmtId="0" fontId="7" fillId="0" borderId="40" xfId="0" applyNumberFormat="1" applyFont="1" applyBorder="1" applyAlignment="1">
      <alignment horizontal="left" vertical="center"/>
    </xf>
    <xf numFmtId="0" fontId="7" fillId="0" borderId="28" xfId="0" applyNumberFormat="1" applyFont="1" applyBorder="1" applyAlignment="1">
      <alignment horizontal="center" vertical="center" shrinkToFit="1"/>
    </xf>
    <xf numFmtId="0" fontId="8" fillId="0" borderId="20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176" fontId="8" fillId="0" borderId="37" xfId="2" applyNumberFormat="1" applyFont="1" applyBorder="1" applyAlignment="1">
      <alignment horizontal="right" vertical="center"/>
    </xf>
    <xf numFmtId="41" fontId="16" fillId="0" borderId="38" xfId="4" applyNumberFormat="1" applyFont="1" applyBorder="1" applyAlignment="1">
      <alignment horizontal="center" vertical="center"/>
    </xf>
    <xf numFmtId="41" fontId="8" fillId="0" borderId="38" xfId="4" applyNumberFormat="1" applyFont="1" applyBorder="1" applyAlignment="1">
      <alignment horizontal="center" vertical="center"/>
    </xf>
    <xf numFmtId="41" fontId="8" fillId="0" borderId="0" xfId="4" applyNumberFormat="1" applyFont="1">
      <alignment vertical="center"/>
    </xf>
    <xf numFmtId="0" fontId="15" fillId="0" borderId="0" xfId="0" quotePrefix="1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40" xfId="0" applyNumberFormat="1" applyFont="1" applyBorder="1" applyAlignment="1">
      <alignment horizontal="center" vertical="center" wrapText="1"/>
    </xf>
    <xf numFmtId="0" fontId="16" fillId="0" borderId="36" xfId="0" applyNumberFormat="1" applyFont="1" applyBorder="1" applyAlignment="1">
      <alignment horizontal="center" vertical="center"/>
    </xf>
    <xf numFmtId="0" fontId="14" fillId="0" borderId="36" xfId="0" applyNumberFormat="1" applyFont="1" applyBorder="1" applyAlignment="1">
      <alignment horizontal="left" vertical="center" shrinkToFit="1"/>
    </xf>
    <xf numFmtId="0" fontId="14" fillId="0" borderId="40" xfId="0" applyNumberFormat="1" applyFont="1" applyBorder="1" applyAlignment="1">
      <alignment horizontal="left" vertical="center" shrinkToFit="1"/>
    </xf>
    <xf numFmtId="0" fontId="16" fillId="0" borderId="9" xfId="0" applyNumberFormat="1" applyFont="1" applyBorder="1" applyAlignment="1">
      <alignment horizontal="center" vertical="center"/>
    </xf>
    <xf numFmtId="41" fontId="8" fillId="0" borderId="38" xfId="2" applyNumberFormat="1" applyFont="1" applyBorder="1" applyAlignment="1">
      <alignment horizontal="center" vertical="center"/>
    </xf>
    <xf numFmtId="41" fontId="9" fillId="0" borderId="8" xfId="4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center" vertical="center"/>
    </xf>
    <xf numFmtId="0" fontId="8" fillId="0" borderId="20" xfId="0" applyNumberFormat="1" applyFont="1" applyBorder="1" applyAlignment="1">
      <alignment horizontal="center" vertical="center" shrinkToFit="1"/>
    </xf>
    <xf numFmtId="41" fontId="8" fillId="0" borderId="9" xfId="2" applyNumberFormat="1" applyFont="1" applyBorder="1" applyAlignment="1">
      <alignment horizontal="right" vertical="center"/>
    </xf>
    <xf numFmtId="41" fontId="8" fillId="0" borderId="34" xfId="2" applyNumberFormat="1" applyFont="1" applyBorder="1" applyAlignment="1">
      <alignment horizontal="right" vertical="center"/>
    </xf>
    <xf numFmtId="41" fontId="8" fillId="0" borderId="9" xfId="4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left" vertical="center"/>
    </xf>
    <xf numFmtId="41" fontId="7" fillId="0" borderId="39" xfId="2" applyNumberFormat="1" applyFont="1" applyBorder="1">
      <alignment vertical="center"/>
    </xf>
    <xf numFmtId="0" fontId="17" fillId="0" borderId="39" xfId="0" applyNumberFormat="1" applyFont="1" applyBorder="1" applyAlignment="1">
      <alignment horizontal="center" vertical="center"/>
    </xf>
    <xf numFmtId="0" fontId="7" fillId="0" borderId="39" xfId="0" quotePrefix="1" applyNumberFormat="1" applyFont="1" applyBorder="1" applyAlignment="1">
      <alignment horizontal="center" vertical="center"/>
    </xf>
    <xf numFmtId="41" fontId="7" fillId="0" borderId="39" xfId="4" applyNumberFormat="1" applyFont="1" applyBorder="1">
      <alignment vertical="center"/>
    </xf>
    <xf numFmtId="0" fontId="7" fillId="0" borderId="26" xfId="0" quotePrefix="1" applyNumberFormat="1" applyFont="1" applyBorder="1" applyAlignment="1">
      <alignment horizontal="center" vertical="center"/>
    </xf>
    <xf numFmtId="41" fontId="16" fillId="0" borderId="9" xfId="2" applyNumberFormat="1" applyFont="1" applyBorder="1" applyAlignment="1">
      <alignment horizontal="center" vertical="center"/>
    </xf>
    <xf numFmtId="41" fontId="15" fillId="0" borderId="26" xfId="4" applyNumberFormat="1" applyFont="1" applyBorder="1">
      <alignment vertical="center"/>
    </xf>
    <xf numFmtId="0" fontId="15" fillId="0" borderId="27" xfId="0" applyNumberFormat="1" applyFont="1" applyBorder="1">
      <alignment vertical="center"/>
    </xf>
    <xf numFmtId="0" fontId="8" fillId="0" borderId="36" xfId="0" applyNumberFormat="1" applyFont="1" applyBorder="1" applyAlignment="1">
      <alignment horizontal="center" vertical="center" wrapText="1"/>
    </xf>
    <xf numFmtId="41" fontId="8" fillId="0" borderId="8" xfId="4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41" fontId="8" fillId="0" borderId="8" xfId="4" applyNumberFormat="1" applyFont="1" applyBorder="1" applyAlignment="1">
      <alignment horizontal="center" vertical="center"/>
    </xf>
    <xf numFmtId="0" fontId="14" fillId="0" borderId="20" xfId="0" applyNumberFormat="1" applyFont="1" applyBorder="1" applyAlignment="1">
      <alignment vertical="center" shrinkToFit="1"/>
    </xf>
    <xf numFmtId="178" fontId="8" fillId="0" borderId="8" xfId="2" applyNumberFormat="1" applyFont="1" applyBorder="1" applyAlignment="1">
      <alignment horizontal="right" vertical="center"/>
    </xf>
    <xf numFmtId="0" fontId="8" fillId="0" borderId="10" xfId="0" applyNumberFormat="1" applyFont="1" applyBorder="1" applyAlignment="1">
      <alignment horizontal="center" vertical="center"/>
    </xf>
    <xf numFmtId="41" fontId="8" fillId="0" borderId="70" xfId="2" applyNumberFormat="1" applyFont="1" applyBorder="1" applyAlignment="1">
      <alignment horizontal="center" vertical="center"/>
    </xf>
    <xf numFmtId="41" fontId="8" fillId="0" borderId="12" xfId="4" applyNumberFormat="1" applyFont="1" applyBorder="1" applyAlignment="1">
      <alignment horizontal="center" vertical="center"/>
    </xf>
    <xf numFmtId="178" fontId="8" fillId="0" borderId="5" xfId="2" applyNumberFormat="1" applyFont="1" applyBorder="1" applyAlignment="1">
      <alignment horizontal="right" vertical="center"/>
    </xf>
    <xf numFmtId="0" fontId="7" fillId="0" borderId="62" xfId="0" applyNumberFormat="1" applyFont="1" applyBorder="1" applyAlignment="1">
      <alignment horizontal="left" vertical="center"/>
    </xf>
    <xf numFmtId="41" fontId="7" fillId="0" borderId="6" xfId="2" applyNumberFormat="1" applyFont="1" applyBorder="1">
      <alignment vertical="center"/>
    </xf>
    <xf numFmtId="3" fontId="8" fillId="0" borderId="0" xfId="0" applyNumberFormat="1" applyFont="1">
      <alignment vertical="center"/>
    </xf>
    <xf numFmtId="41" fontId="8" fillId="0" borderId="0" xfId="2" applyNumberFormat="1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1" fillId="0" borderId="0" xfId="0" applyNumberFormat="1" applyFont="1" applyAlignment="1">
      <alignment horizontal="left" vertical="center"/>
    </xf>
    <xf numFmtId="176" fontId="8" fillId="0" borderId="0" xfId="2" applyNumberFormat="1" applyFont="1" applyAlignment="1">
      <alignment horizontal="right" vertical="center"/>
    </xf>
    <xf numFmtId="177" fontId="8" fillId="0" borderId="0" xfId="2" applyNumberFormat="1" applyFont="1">
      <alignment vertical="center"/>
    </xf>
    <xf numFmtId="0" fontId="14" fillId="0" borderId="0" xfId="0" applyNumberFormat="1" applyFont="1" applyAlignment="1">
      <alignment horizontal="left" vertical="center"/>
    </xf>
    <xf numFmtId="41" fontId="9" fillId="0" borderId="0" xfId="2" applyNumberFormat="1" applyFont="1">
      <alignment vertical="center"/>
    </xf>
    <xf numFmtId="0" fontId="18" fillId="0" borderId="0" xfId="0" applyNumberFormat="1" applyFont="1" applyAlignment="1">
      <alignment horizontal="left" vertical="center"/>
    </xf>
    <xf numFmtId="41" fontId="12" fillId="0" borderId="0" xfId="2" applyNumberFormat="1" applyFont="1" applyAlignment="1">
      <alignment horizontal="center" vertical="center"/>
    </xf>
    <xf numFmtId="176" fontId="12" fillId="0" borderId="0" xfId="2" applyNumberFormat="1" applyFont="1" applyAlignment="1">
      <alignment horizontal="right" vertical="center"/>
    </xf>
    <xf numFmtId="177" fontId="12" fillId="0" borderId="0" xfId="2" applyNumberFormat="1" applyFont="1">
      <alignment vertical="center"/>
    </xf>
    <xf numFmtId="0" fontId="13" fillId="0" borderId="65" xfId="0" applyNumberFormat="1" applyFont="1" applyBorder="1" applyAlignment="1">
      <alignment horizontal="center" vertical="center"/>
    </xf>
    <xf numFmtId="41" fontId="13" fillId="2" borderId="65" xfId="4" applyNumberFormat="1" applyFont="1" applyFill="1" applyBorder="1" applyAlignment="1">
      <alignment horizontal="center" vertical="center" wrapText="1"/>
    </xf>
    <xf numFmtId="41" fontId="13" fillId="0" borderId="55" xfId="2" applyNumberFormat="1" applyFont="1" applyBorder="1" applyAlignment="1">
      <alignment horizontal="center" vertical="center"/>
    </xf>
    <xf numFmtId="0" fontId="13" fillId="0" borderId="66" xfId="0" applyNumberFormat="1" applyFont="1" applyBorder="1" applyAlignment="1">
      <alignment horizontal="center" vertical="center"/>
    </xf>
    <xf numFmtId="41" fontId="13" fillId="2" borderId="43" xfId="4" applyNumberFormat="1" applyFont="1" applyFill="1" applyBorder="1" applyAlignment="1">
      <alignment horizontal="center" vertical="center" wrapText="1"/>
    </xf>
    <xf numFmtId="41" fontId="13" fillId="0" borderId="41" xfId="2" applyNumberFormat="1" applyFont="1" applyBorder="1" applyAlignment="1">
      <alignment horizontal="center" vertical="center"/>
    </xf>
    <xf numFmtId="177" fontId="13" fillId="0" borderId="41" xfId="2" applyNumberFormat="1" applyFont="1" applyBorder="1" applyAlignment="1">
      <alignment horizontal="center" vertical="center"/>
    </xf>
    <xf numFmtId="41" fontId="13" fillId="0" borderId="42" xfId="2" applyNumberFormat="1" applyFont="1" applyBorder="1" applyAlignment="1">
      <alignment horizontal="center" vertical="center"/>
    </xf>
    <xf numFmtId="41" fontId="13" fillId="2" borderId="43" xfId="4" applyNumberFormat="1" applyFont="1" applyFill="1" applyBorder="1" applyAlignment="1">
      <alignment horizontal="center" vertical="center"/>
    </xf>
    <xf numFmtId="176" fontId="13" fillId="0" borderId="44" xfId="2" applyNumberFormat="1" applyFont="1" applyBorder="1" applyAlignment="1">
      <alignment horizontal="right" vertical="center"/>
    </xf>
    <xf numFmtId="177" fontId="13" fillId="0" borderId="44" xfId="2" applyNumberFormat="1" applyFont="1" applyBorder="1">
      <alignment vertical="center"/>
    </xf>
    <xf numFmtId="0" fontId="14" fillId="0" borderId="45" xfId="0" applyNumberFormat="1" applyFont="1" applyBorder="1">
      <alignment vertical="center"/>
    </xf>
    <xf numFmtId="0" fontId="14" fillId="0" borderId="46" xfId="0" applyNumberFormat="1" applyFont="1" applyBorder="1">
      <alignment vertical="center"/>
    </xf>
    <xf numFmtId="41" fontId="15" fillId="0" borderId="46" xfId="2" applyNumberFormat="1" applyFont="1" applyBorder="1" applyAlignment="1">
      <alignment horizontal="center" vertical="center"/>
    </xf>
    <xf numFmtId="0" fontId="19" fillId="0" borderId="47" xfId="0" applyNumberFormat="1" applyFont="1" applyBorder="1">
      <alignment vertical="center"/>
    </xf>
    <xf numFmtId="0" fontId="16" fillId="0" borderId="17" xfId="0" applyNumberFormat="1" applyFont="1" applyBorder="1" applyAlignment="1">
      <alignment horizontal="center" vertical="center"/>
    </xf>
    <xf numFmtId="0" fontId="16" fillId="0" borderId="19" xfId="0" applyNumberFormat="1" applyFont="1" applyBorder="1" applyAlignment="1">
      <alignment horizontal="center" vertical="center"/>
    </xf>
    <xf numFmtId="41" fontId="13" fillId="0" borderId="48" xfId="2" applyNumberFormat="1" applyFont="1" applyBorder="1" applyAlignment="1">
      <alignment horizontal="center" vertical="center"/>
    </xf>
    <xf numFmtId="41" fontId="13" fillId="2" borderId="48" xfId="4" applyNumberFormat="1" applyFont="1" applyFill="1" applyBorder="1" applyAlignment="1">
      <alignment horizontal="center" vertical="center"/>
    </xf>
    <xf numFmtId="176" fontId="13" fillId="0" borderId="48" xfId="2" applyNumberFormat="1" applyFont="1" applyBorder="1" applyAlignment="1">
      <alignment horizontal="right" vertical="center"/>
    </xf>
    <xf numFmtId="177" fontId="13" fillId="0" borderId="48" xfId="2" applyNumberFormat="1" applyFont="1" applyBorder="1">
      <alignment vertical="center"/>
    </xf>
    <xf numFmtId="0" fontId="14" fillId="0" borderId="19" xfId="0" applyNumberFormat="1" applyFont="1" applyBorder="1" applyAlignment="1">
      <alignment horizontal="left" vertical="center"/>
    </xf>
    <xf numFmtId="41" fontId="7" fillId="0" borderId="49" xfId="2" applyNumberFormat="1" applyFont="1" applyBorder="1">
      <alignment vertical="center"/>
    </xf>
    <xf numFmtId="0" fontId="7" fillId="0" borderId="49" xfId="0" applyNumberFormat="1" applyFont="1" applyBorder="1">
      <alignment vertical="center"/>
    </xf>
    <xf numFmtId="0" fontId="7" fillId="0" borderId="49" xfId="0" applyNumberFormat="1" applyFont="1" applyBorder="1" applyAlignment="1">
      <alignment horizontal="center" vertical="center"/>
    </xf>
    <xf numFmtId="41" fontId="15" fillId="0" borderId="49" xfId="2" applyNumberFormat="1" applyFont="1" applyBorder="1">
      <alignment vertical="center"/>
    </xf>
    <xf numFmtId="0" fontId="15" fillId="0" borderId="50" xfId="0" applyNumberFormat="1" applyFont="1" applyBorder="1">
      <alignment vertical="center"/>
    </xf>
    <xf numFmtId="41" fontId="8" fillId="0" borderId="2" xfId="2" applyNumberFormat="1" applyFont="1" applyBorder="1" applyAlignment="1">
      <alignment horizontal="center" vertical="center"/>
    </xf>
    <xf numFmtId="0" fontId="13" fillId="0" borderId="36" xfId="0" applyNumberFormat="1" applyFont="1" applyBorder="1" applyAlignment="1">
      <alignment horizontal="center" vertical="center"/>
    </xf>
    <xf numFmtId="41" fontId="13" fillId="0" borderId="51" xfId="2" applyNumberFormat="1" applyFont="1" applyBorder="1" applyAlignment="1">
      <alignment horizontal="center" vertical="center"/>
    </xf>
    <xf numFmtId="41" fontId="13" fillId="2" borderId="51" xfId="4" applyNumberFormat="1" applyFont="1" applyFill="1" applyBorder="1" applyAlignment="1">
      <alignment horizontal="center" vertical="center"/>
    </xf>
    <xf numFmtId="176" fontId="13" fillId="0" borderId="51" xfId="2" applyNumberFormat="1" applyFont="1" applyBorder="1" applyAlignment="1">
      <alignment horizontal="right" vertical="center"/>
    </xf>
    <xf numFmtId="177" fontId="13" fillId="0" borderId="51" xfId="2" applyNumberFormat="1" applyFont="1" applyBorder="1">
      <alignment vertical="center"/>
    </xf>
    <xf numFmtId="0" fontId="14" fillId="0" borderId="36" xfId="0" applyNumberFormat="1" applyFont="1" applyBorder="1" applyAlignment="1">
      <alignment horizontal="left" vertical="center"/>
    </xf>
    <xf numFmtId="41" fontId="7" fillId="0" borderId="0" xfId="2" applyNumberFormat="1" applyFont="1" applyBorder="1">
      <alignment vertical="center"/>
    </xf>
    <xf numFmtId="0" fontId="7" fillId="0" borderId="0" xfId="0" applyNumberFormat="1" applyFont="1" applyBorder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 vertical="center"/>
    </xf>
    <xf numFmtId="41" fontId="8" fillId="0" borderId="54" xfId="2" applyNumberFormat="1" applyFont="1" applyBorder="1" applyAlignment="1">
      <alignment horizontal="right" vertical="center"/>
    </xf>
    <xf numFmtId="176" fontId="8" fillId="0" borderId="54" xfId="2" applyNumberFormat="1" applyFont="1" applyBorder="1" applyAlignment="1">
      <alignment horizontal="right" vertical="center"/>
    </xf>
    <xf numFmtId="177" fontId="8" fillId="0" borderId="54" xfId="2" applyNumberFormat="1" applyFont="1" applyBorder="1" applyAlignment="1">
      <alignment horizontal="right" vertical="center"/>
    </xf>
    <xf numFmtId="41" fontId="8" fillId="0" borderId="51" xfId="2" applyNumberFormat="1" applyFont="1" applyBorder="1" applyAlignment="1">
      <alignment horizontal="right" vertical="center"/>
    </xf>
    <xf numFmtId="176" fontId="8" fillId="0" borderId="51" xfId="2" applyNumberFormat="1" applyFont="1" applyBorder="1" applyAlignment="1">
      <alignment horizontal="right" vertical="center"/>
    </xf>
    <xf numFmtId="177" fontId="8" fillId="0" borderId="51" xfId="2" applyNumberFormat="1" applyFont="1" applyBorder="1" applyAlignment="1">
      <alignment horizontal="right" vertical="center"/>
    </xf>
    <xf numFmtId="0" fontId="17" fillId="0" borderId="0" xfId="0" applyNumberFormat="1" applyFont="1" applyBorder="1" applyAlignment="1">
      <alignment horizontal="center" vertical="center"/>
    </xf>
    <xf numFmtId="0" fontId="7" fillId="0" borderId="0" xfId="0" quotePrefix="1" applyNumberFormat="1" applyFont="1" applyBorder="1" applyAlignment="1">
      <alignment horizontal="center" vertical="center"/>
    </xf>
    <xf numFmtId="176" fontId="7" fillId="0" borderId="0" xfId="2" applyNumberFormat="1" applyFont="1" applyBorder="1">
      <alignment vertical="center"/>
    </xf>
    <xf numFmtId="41" fontId="8" fillId="2" borderId="44" xfId="4" applyNumberFormat="1" applyFont="1" applyFill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41" fontId="8" fillId="0" borderId="44" xfId="2" applyNumberFormat="1" applyFont="1" applyBorder="1" applyAlignment="1">
      <alignment horizontal="right" vertical="center"/>
    </xf>
    <xf numFmtId="176" fontId="8" fillId="0" borderId="44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41" fontId="8" fillId="0" borderId="54" xfId="2" applyNumberFormat="1" applyFont="1" applyBorder="1" applyAlignment="1">
      <alignment horizontal="center" vertical="center"/>
    </xf>
    <xf numFmtId="177" fontId="8" fillId="0" borderId="54" xfId="2" applyNumberFormat="1" applyFont="1" applyBorder="1" applyAlignment="1">
      <alignment vertical="center"/>
    </xf>
    <xf numFmtId="41" fontId="8" fillId="0" borderId="51" xfId="2" applyNumberFormat="1" applyFont="1" applyBorder="1" applyAlignment="1">
      <alignment horizontal="center" vertical="center"/>
    </xf>
    <xf numFmtId="177" fontId="8" fillId="0" borderId="51" xfId="2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16" xfId="0" applyNumberFormat="1" applyFont="1" applyBorder="1" applyAlignment="1">
      <alignment horizontal="left" vertical="center"/>
    </xf>
    <xf numFmtId="0" fontId="7" fillId="0" borderId="52" xfId="0" applyNumberFormat="1" applyFont="1" applyBorder="1" applyAlignment="1">
      <alignment horizontal="left" vertical="center"/>
    </xf>
    <xf numFmtId="41" fontId="8" fillId="0" borderId="44" xfId="2" applyNumberFormat="1" applyFont="1" applyBorder="1" applyAlignment="1">
      <alignment horizontal="center" vertical="center"/>
    </xf>
    <xf numFmtId="41" fontId="8" fillId="2" borderId="44" xfId="4" applyNumberFormat="1" applyFont="1" applyFill="1" applyBorder="1" applyAlignment="1">
      <alignment horizontal="center" vertical="center"/>
    </xf>
    <xf numFmtId="177" fontId="8" fillId="0" borderId="44" xfId="2" applyNumberFormat="1" applyFont="1" applyBorder="1" applyAlignment="1">
      <alignment vertical="center"/>
    </xf>
    <xf numFmtId="3" fontId="7" fillId="0" borderId="0" xfId="0" applyNumberFormat="1" applyFont="1" applyBorder="1">
      <alignment vertical="center"/>
    </xf>
    <xf numFmtId="0" fontId="7" fillId="0" borderId="20" xfId="0" applyNumberFormat="1" applyFont="1" applyBorder="1" applyAlignment="1">
      <alignment horizontal="center" vertical="center" wrapText="1"/>
    </xf>
    <xf numFmtId="41" fontId="8" fillId="0" borderId="59" xfId="2" applyNumberFormat="1" applyFont="1" applyBorder="1" applyAlignment="1">
      <alignment horizontal="center" vertical="center"/>
    </xf>
    <xf numFmtId="176" fontId="8" fillId="0" borderId="59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vertical="center"/>
    </xf>
    <xf numFmtId="180" fontId="7" fillId="0" borderId="0" xfId="0" applyNumberFormat="1" applyFont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left" vertical="center"/>
    </xf>
    <xf numFmtId="0" fontId="7" fillId="0" borderId="28" xfId="0" applyNumberFormat="1" applyFont="1" applyBorder="1">
      <alignment vertical="center"/>
    </xf>
    <xf numFmtId="179" fontId="7" fillId="0" borderId="28" xfId="0" applyNumberFormat="1" applyFont="1" applyBorder="1" applyAlignment="1">
      <alignment horizontal="center" vertical="center" shrinkToFit="1"/>
    </xf>
    <xf numFmtId="41" fontId="8" fillId="2" borderId="41" xfId="4" applyNumberFormat="1" applyFont="1" applyFill="1" applyBorder="1" applyAlignment="1">
      <alignment horizontal="center" vertical="center"/>
    </xf>
    <xf numFmtId="0" fontId="7" fillId="0" borderId="16" xfId="0" applyNumberFormat="1" applyFont="1" applyBorder="1" applyAlignment="1">
      <alignment horizontal="left" vertical="center" shrinkToFit="1"/>
    </xf>
    <xf numFmtId="0" fontId="16" fillId="0" borderId="4" xfId="0" applyNumberFormat="1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left" vertical="center"/>
    </xf>
    <xf numFmtId="0" fontId="7" fillId="0" borderId="26" xfId="0" applyNumberFormat="1" applyFont="1" applyBorder="1" applyAlignment="1">
      <alignment horizontal="left" vertical="center"/>
    </xf>
    <xf numFmtId="0" fontId="8" fillId="0" borderId="16" xfId="0" applyNumberFormat="1" applyFont="1" applyBorder="1" applyAlignment="1">
      <alignment horizontal="center" vertical="center"/>
    </xf>
    <xf numFmtId="0" fontId="7" fillId="0" borderId="16" xfId="0" applyNumberFormat="1" applyFont="1" applyBorder="1">
      <alignment vertical="center"/>
    </xf>
    <xf numFmtId="0" fontId="15" fillId="0" borderId="26" xfId="0" applyNumberFormat="1" applyFont="1" applyBorder="1" applyAlignment="1">
      <alignment horizontal="left" vertical="center"/>
    </xf>
    <xf numFmtId="0" fontId="7" fillId="0" borderId="35" xfId="0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16" fillId="0" borderId="35" xfId="0" applyNumberFormat="1" applyFont="1" applyBorder="1" applyAlignment="1">
      <alignment horizontal="center" vertical="center"/>
    </xf>
    <xf numFmtId="41" fontId="16" fillId="0" borderId="54" xfId="2" applyNumberFormat="1" applyFont="1" applyBorder="1" applyAlignment="1">
      <alignment horizontal="center" vertical="center"/>
    </xf>
    <xf numFmtId="41" fontId="16" fillId="2" borderId="54" xfId="4" applyNumberFormat="1" applyFont="1" applyFill="1" applyBorder="1" applyAlignment="1">
      <alignment horizontal="center" vertical="center"/>
    </xf>
    <xf numFmtId="176" fontId="16" fillId="0" borderId="54" xfId="2" applyNumberFormat="1" applyFont="1" applyBorder="1" applyAlignment="1">
      <alignment horizontal="right" vertical="center"/>
    </xf>
    <xf numFmtId="177" fontId="16" fillId="0" borderId="54" xfId="2" applyNumberFormat="1" applyFont="1" applyBorder="1">
      <alignment vertical="center"/>
    </xf>
    <xf numFmtId="9" fontId="8" fillId="0" borderId="4" xfId="1" applyNumberFormat="1" applyFont="1" applyBorder="1" applyAlignment="1">
      <alignment horizontal="center" vertical="center"/>
    </xf>
    <xf numFmtId="0" fontId="7" fillId="0" borderId="40" xfId="0" applyNumberFormat="1" applyFont="1" applyBorder="1" applyAlignment="1">
      <alignment horizontal="center" vertical="center"/>
    </xf>
    <xf numFmtId="0" fontId="7" fillId="0" borderId="28" xfId="0" applyNumberFormat="1" applyFont="1" applyBorder="1" applyAlignment="1">
      <alignment horizontal="left" vertical="center"/>
    </xf>
    <xf numFmtId="0" fontId="7" fillId="0" borderId="35" xfId="0" applyNumberFormat="1" applyFont="1" applyBorder="1" applyAlignment="1">
      <alignment horizontal="center" vertical="center" wrapText="1"/>
    </xf>
    <xf numFmtId="0" fontId="7" fillId="0" borderId="36" xfId="0" applyNumberFormat="1" applyFont="1" applyBorder="1" applyAlignment="1">
      <alignment horizontal="center" vertical="center" wrapText="1"/>
    </xf>
    <xf numFmtId="41" fontId="7" fillId="0" borderId="0" xfId="0" applyNumberFormat="1" applyFont="1" applyBorder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15" fillId="0" borderId="52" xfId="0" applyNumberFormat="1" applyFont="1" applyBorder="1" applyAlignment="1">
      <alignment horizontal="left" vertical="center"/>
    </xf>
    <xf numFmtId="41" fontId="15" fillId="0" borderId="26" xfId="2" applyNumberFormat="1" applyFont="1" applyBorder="1">
      <alignment vertical="center"/>
    </xf>
    <xf numFmtId="0" fontId="7" fillId="0" borderId="2" xfId="0" applyNumberFormat="1" applyFont="1" applyBorder="1">
      <alignment vertical="center"/>
    </xf>
    <xf numFmtId="0" fontId="7" fillId="0" borderId="4" xfId="0" applyNumberFormat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41" fontId="7" fillId="0" borderId="0" xfId="2" applyFont="1" applyBorder="1">
      <alignment vertical="center"/>
    </xf>
    <xf numFmtId="0" fontId="7" fillId="0" borderId="0" xfId="0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41" fontId="14" fillId="0" borderId="0" xfId="2" applyNumberFormat="1" applyFont="1">
      <alignment vertical="center"/>
    </xf>
    <xf numFmtId="41" fontId="16" fillId="0" borderId="51" xfId="2" applyNumberFormat="1" applyFont="1" applyBorder="1" applyAlignment="1">
      <alignment horizontal="center" vertical="center"/>
    </xf>
    <xf numFmtId="41" fontId="16" fillId="2" borderId="51" xfId="4" applyNumberFormat="1" applyFont="1" applyFill="1" applyBorder="1" applyAlignment="1">
      <alignment horizontal="center" vertical="center"/>
    </xf>
    <xf numFmtId="176" fontId="16" fillId="0" borderId="51" xfId="2" applyNumberFormat="1" applyFont="1" applyBorder="1" applyAlignment="1">
      <alignment horizontal="right" vertical="center"/>
    </xf>
    <xf numFmtId="177" fontId="16" fillId="0" borderId="51" xfId="2" applyNumberFormat="1" applyFont="1" applyBorder="1">
      <alignment vertical="center"/>
    </xf>
    <xf numFmtId="41" fontId="15" fillId="0" borderId="0" xfId="2" applyNumberFormat="1" applyFont="1" applyBorder="1">
      <alignment vertical="center"/>
    </xf>
    <xf numFmtId="0" fontId="7" fillId="0" borderId="26" xfId="0" applyNumberFormat="1" applyFont="1" applyBorder="1" applyAlignment="1">
      <alignment horizontal="left" vertical="center" shrinkToFit="1"/>
    </xf>
    <xf numFmtId="0" fontId="7" fillId="0" borderId="53" xfId="0" applyNumberFormat="1" applyFont="1" applyBorder="1" applyAlignment="1">
      <alignment horizontal="left" vertical="center" shrinkToFit="1"/>
    </xf>
    <xf numFmtId="0" fontId="7" fillId="0" borderId="0" xfId="0" applyNumberFormat="1" applyFont="1" applyBorder="1" applyAlignment="1">
      <alignment horizontal="left" vertical="center" shrinkToFit="1"/>
    </xf>
    <xf numFmtId="0" fontId="7" fillId="0" borderId="21" xfId="0" applyNumberFormat="1" applyFont="1" applyFill="1" applyBorder="1" applyAlignment="1" applyProtection="1">
      <alignment horizontal="center" vertical="center" wrapText="1"/>
    </xf>
    <xf numFmtId="41" fontId="8" fillId="0" borderId="54" xfId="2" applyNumberFormat="1" applyFont="1" applyFill="1" applyBorder="1" applyAlignment="1" applyProtection="1">
      <alignment horizontal="center" vertical="center"/>
    </xf>
    <xf numFmtId="41" fontId="8" fillId="2" borderId="54" xfId="4" applyNumberFormat="1" applyFont="1" applyFill="1" applyBorder="1" applyAlignment="1" applyProtection="1">
      <alignment horizontal="center" vertical="center"/>
    </xf>
    <xf numFmtId="176" fontId="8" fillId="0" borderId="54" xfId="2" applyNumberFormat="1" applyFont="1" applyFill="1" applyBorder="1" applyAlignment="1" applyProtection="1">
      <alignment horizontal="right" vertical="center"/>
    </xf>
    <xf numFmtId="177" fontId="7" fillId="0" borderId="54" xfId="2" applyNumberFormat="1" applyFont="1" applyFill="1" applyBorder="1" applyAlignment="1" applyProtection="1">
      <alignment horizontal="right" vertical="center"/>
    </xf>
    <xf numFmtId="0" fontId="7" fillId="0" borderId="52" xfId="0" applyNumberFormat="1" applyFont="1" applyFill="1" applyBorder="1" applyAlignment="1" applyProtection="1">
      <alignment horizontal="left" vertical="center" shrinkToFit="1"/>
    </xf>
    <xf numFmtId="41" fontId="7" fillId="0" borderId="26" xfId="2" applyNumberFormat="1" applyFont="1" applyFill="1" applyBorder="1" applyAlignment="1" applyProtection="1">
      <alignment vertical="center"/>
    </xf>
    <xf numFmtId="0" fontId="7" fillId="0" borderId="26" xfId="0" applyNumberFormat="1" applyFont="1" applyFill="1" applyBorder="1" applyAlignment="1" applyProtection="1">
      <alignment vertical="center"/>
    </xf>
    <xf numFmtId="0" fontId="17" fillId="0" borderId="26" xfId="0" applyNumberFormat="1" applyFont="1" applyFill="1" applyBorder="1" applyAlignment="1" applyProtection="1">
      <alignment horizontal="center" vertical="center"/>
    </xf>
    <xf numFmtId="0" fontId="7" fillId="0" borderId="26" xfId="0" applyNumberFormat="1" applyFont="1" applyFill="1" applyBorder="1" applyAlignment="1" applyProtection="1">
      <alignment horizontal="center" vertical="center"/>
    </xf>
    <xf numFmtId="0" fontId="7" fillId="0" borderId="27" xfId="0" applyNumberFormat="1" applyFont="1" applyFill="1" applyBorder="1" applyAlignment="1" applyProtection="1">
      <alignment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41" fontId="8" fillId="0" borderId="44" xfId="2" applyNumberFormat="1" applyFont="1" applyFill="1" applyBorder="1" applyAlignment="1" applyProtection="1">
      <alignment horizontal="center" vertical="center"/>
    </xf>
    <xf numFmtId="41" fontId="8" fillId="2" borderId="44" xfId="4" applyNumberFormat="1" applyFont="1" applyFill="1" applyBorder="1" applyAlignment="1" applyProtection="1">
      <alignment horizontal="center" vertical="center"/>
    </xf>
    <xf numFmtId="176" fontId="8" fillId="0" borderId="44" xfId="2" applyNumberFormat="1" applyFont="1" applyFill="1" applyBorder="1" applyAlignment="1" applyProtection="1">
      <alignment horizontal="right" vertical="center"/>
    </xf>
    <xf numFmtId="177" fontId="7" fillId="0" borderId="44" xfId="2" applyNumberFormat="1" applyFont="1" applyFill="1" applyBorder="1" applyAlignment="1" applyProtection="1">
      <alignment horizontal="right" vertical="center"/>
    </xf>
    <xf numFmtId="0" fontId="7" fillId="0" borderId="53" xfId="0" applyNumberFormat="1" applyFont="1" applyFill="1" applyBorder="1" applyAlignment="1" applyProtection="1">
      <alignment horizontal="left" vertical="center" shrinkToFit="1"/>
    </xf>
    <xf numFmtId="41" fontId="7" fillId="0" borderId="28" xfId="2" applyNumberFormat="1" applyFont="1" applyFill="1" applyBorder="1" applyAlignment="1" applyProtection="1">
      <alignment vertical="center"/>
    </xf>
    <xf numFmtId="0" fontId="7" fillId="0" borderId="28" xfId="0" applyNumberFormat="1" applyFont="1" applyFill="1" applyBorder="1" applyAlignment="1" applyProtection="1">
      <alignment vertical="center"/>
    </xf>
    <xf numFmtId="0" fontId="17" fillId="0" borderId="28" xfId="0" applyNumberFormat="1" applyFont="1" applyFill="1" applyBorder="1" applyAlignment="1" applyProtection="1">
      <alignment horizontal="center" vertical="center"/>
    </xf>
    <xf numFmtId="0" fontId="7" fillId="0" borderId="28" xfId="0" applyNumberFormat="1" applyFont="1" applyFill="1" applyBorder="1" applyAlignment="1" applyProtection="1">
      <alignment horizontal="center" vertical="center"/>
    </xf>
    <xf numFmtId="0" fontId="7" fillId="0" borderId="28" xfId="0" quotePrefix="1" applyNumberFormat="1" applyFont="1" applyFill="1" applyBorder="1" applyAlignment="1" applyProtection="1">
      <alignment horizontal="center" vertical="center"/>
    </xf>
    <xf numFmtId="0" fontId="7" fillId="0" borderId="18" xfId="0" applyNumberFormat="1" applyFont="1" applyFill="1" applyBorder="1" applyAlignment="1" applyProtection="1">
      <alignment vertical="center"/>
    </xf>
    <xf numFmtId="41" fontId="16" fillId="0" borderId="23" xfId="2" applyNumberFormat="1" applyFont="1" applyBorder="1" applyAlignment="1">
      <alignment horizontal="center" vertical="center"/>
    </xf>
    <xf numFmtId="0" fontId="16" fillId="0" borderId="11" xfId="0" applyNumberFormat="1" applyFont="1" applyBorder="1" applyAlignment="1">
      <alignment horizontal="center" vertical="center"/>
    </xf>
    <xf numFmtId="0" fontId="16" fillId="0" borderId="64" xfId="0" applyNumberFormat="1" applyFont="1" applyBorder="1" applyAlignment="1">
      <alignment horizontal="center" vertical="center"/>
    </xf>
    <xf numFmtId="41" fontId="16" fillId="0" borderId="55" xfId="2" applyNumberFormat="1" applyFont="1" applyBorder="1" applyAlignment="1">
      <alignment horizontal="center" vertical="center"/>
    </xf>
    <xf numFmtId="41" fontId="16" fillId="2" borderId="55" xfId="4" applyNumberFormat="1" applyFont="1" applyFill="1" applyBorder="1" applyAlignment="1">
      <alignment horizontal="center" vertical="center"/>
    </xf>
    <xf numFmtId="176" fontId="16" fillId="0" borderId="55" xfId="2" applyNumberFormat="1" applyFont="1" applyBorder="1" applyAlignment="1">
      <alignment horizontal="right" vertical="center"/>
    </xf>
    <xf numFmtId="177" fontId="16" fillId="0" borderId="55" xfId="2" applyNumberFormat="1" applyFont="1" applyBorder="1">
      <alignment vertical="center"/>
    </xf>
    <xf numFmtId="0" fontId="7" fillId="0" borderId="56" xfId="0" applyNumberFormat="1" applyFont="1" applyBorder="1" applyAlignment="1">
      <alignment horizontal="left" vertical="center"/>
    </xf>
    <xf numFmtId="41" fontId="7" fillId="0" borderId="57" xfId="2" applyNumberFormat="1" applyFont="1" applyBorder="1">
      <alignment vertical="center"/>
    </xf>
    <xf numFmtId="0" fontId="7" fillId="0" borderId="57" xfId="0" applyNumberFormat="1" applyFont="1" applyBorder="1">
      <alignment vertical="center"/>
    </xf>
    <xf numFmtId="0" fontId="7" fillId="0" borderId="57" xfId="0" applyNumberFormat="1" applyFont="1" applyBorder="1" applyAlignment="1">
      <alignment horizontal="center" vertical="center"/>
    </xf>
    <xf numFmtId="0" fontId="7" fillId="0" borderId="58" xfId="0" applyNumberFormat="1" applyFont="1" applyBorder="1">
      <alignment vertical="center"/>
    </xf>
    <xf numFmtId="0" fontId="15" fillId="0" borderId="9" xfId="0" applyNumberFormat="1" applyFont="1" applyBorder="1" applyAlignment="1">
      <alignment vertical="center" shrinkToFit="1"/>
    </xf>
    <xf numFmtId="41" fontId="8" fillId="0" borderId="59" xfId="2" applyNumberFormat="1" applyFont="1" applyBorder="1" applyAlignment="1">
      <alignment horizontal="center" vertical="center"/>
    </xf>
    <xf numFmtId="41" fontId="9" fillId="2" borderId="59" xfId="4" applyNumberFormat="1" applyFont="1" applyFill="1" applyBorder="1" applyAlignment="1">
      <alignment horizontal="center" vertical="center"/>
    </xf>
    <xf numFmtId="176" fontId="8" fillId="0" borderId="59" xfId="2" applyNumberFormat="1" applyFont="1" applyBorder="1" applyAlignment="1">
      <alignment horizontal="right" vertical="center"/>
    </xf>
    <xf numFmtId="177" fontId="8" fillId="0" borderId="59" xfId="2" applyNumberFormat="1" applyFont="1" applyBorder="1">
      <alignment vertical="center"/>
    </xf>
    <xf numFmtId="0" fontId="7" fillId="0" borderId="39" xfId="0" applyNumberFormat="1" applyFont="1" applyBorder="1" applyAlignment="1">
      <alignment horizontal="left" vertical="center"/>
    </xf>
    <xf numFmtId="0" fontId="15" fillId="0" borderId="4" xfId="0" applyNumberFormat="1" applyFont="1" applyBorder="1" applyAlignment="1">
      <alignment vertical="center" shrinkToFit="1"/>
    </xf>
    <xf numFmtId="41" fontId="8" fillId="0" borderId="54" xfId="4" applyNumberFormat="1" applyFont="1" applyBorder="1" applyAlignment="1">
      <alignment horizontal="center" vertical="center" wrapText="1"/>
    </xf>
    <xf numFmtId="41" fontId="8" fillId="2" borderId="54" xfId="4" applyNumberFormat="1" applyFont="1" applyFill="1" applyBorder="1" applyAlignment="1">
      <alignment horizontal="center" vertical="center" wrapText="1"/>
    </xf>
    <xf numFmtId="176" fontId="8" fillId="0" borderId="54" xfId="4" applyNumberFormat="1" applyFont="1" applyBorder="1" applyAlignment="1">
      <alignment horizontal="right" vertical="center" wrapText="1"/>
    </xf>
    <xf numFmtId="177" fontId="8" fillId="0" borderId="54" xfId="4" applyNumberFormat="1" applyFont="1" applyBorder="1" applyAlignment="1">
      <alignment vertical="center" wrapText="1"/>
    </xf>
    <xf numFmtId="41" fontId="8" fillId="0" borderId="51" xfId="4" applyNumberFormat="1" applyFont="1" applyBorder="1" applyAlignment="1">
      <alignment horizontal="center" vertical="center" wrapText="1"/>
    </xf>
    <xf numFmtId="41" fontId="8" fillId="2" borderId="51" xfId="4" applyNumberFormat="1" applyFont="1" applyFill="1" applyBorder="1" applyAlignment="1">
      <alignment horizontal="center" vertical="center" wrapText="1"/>
    </xf>
    <xf numFmtId="176" fontId="8" fillId="0" borderId="51" xfId="4" applyNumberFormat="1" applyFont="1" applyBorder="1" applyAlignment="1">
      <alignment horizontal="right" vertical="center" wrapText="1"/>
    </xf>
    <xf numFmtId="177" fontId="8" fillId="0" borderId="51" xfId="4" applyNumberFormat="1" applyFont="1" applyBorder="1" applyAlignment="1">
      <alignment vertical="center" wrapText="1"/>
    </xf>
    <xf numFmtId="41" fontId="7" fillId="0" borderId="0" xfId="4" applyNumberFormat="1" applyFont="1" applyBorder="1">
      <alignment vertical="center"/>
    </xf>
    <xf numFmtId="0" fontId="7" fillId="0" borderId="40" xfId="0" applyNumberFormat="1" applyFont="1" applyBorder="1" applyAlignment="1">
      <alignment horizontal="center" vertical="center" wrapText="1"/>
    </xf>
    <xf numFmtId="41" fontId="8" fillId="0" borderId="44" xfId="4" applyNumberFormat="1" applyFont="1" applyBorder="1" applyAlignment="1">
      <alignment horizontal="center" vertical="center" wrapText="1"/>
    </xf>
    <xf numFmtId="41" fontId="8" fillId="2" borderId="44" xfId="4" applyNumberFormat="1" applyFont="1" applyFill="1" applyBorder="1" applyAlignment="1">
      <alignment horizontal="center" vertical="center" wrapText="1"/>
    </xf>
    <xf numFmtId="176" fontId="8" fillId="0" borderId="44" xfId="4" applyNumberFormat="1" applyFont="1" applyBorder="1" applyAlignment="1">
      <alignment horizontal="right" vertical="center" wrapText="1"/>
    </xf>
    <xf numFmtId="177" fontId="8" fillId="0" borderId="44" xfId="4" applyNumberFormat="1" applyFont="1" applyBorder="1" applyAlignment="1">
      <alignment vertical="center" wrapText="1"/>
    </xf>
    <xf numFmtId="0" fontId="7" fillId="0" borderId="35" xfId="0" applyNumberFormat="1" applyFont="1" applyBorder="1" applyAlignment="1">
      <alignment horizontal="center" vertical="center" wrapText="1" shrinkToFit="1"/>
    </xf>
    <xf numFmtId="0" fontId="7" fillId="0" borderId="36" xfId="0" applyNumberFormat="1" applyFont="1" applyBorder="1" applyAlignment="1">
      <alignment horizontal="center" vertical="center" wrapText="1" shrinkToFit="1"/>
    </xf>
    <xf numFmtId="177" fontId="8" fillId="0" borderId="51" xfId="4" applyNumberFormat="1" applyFont="1" applyBorder="1" applyAlignment="1">
      <alignment vertical="center"/>
    </xf>
    <xf numFmtId="0" fontId="7" fillId="0" borderId="40" xfId="0" applyNumberFormat="1" applyFont="1" applyBorder="1" applyAlignment="1">
      <alignment horizontal="center" vertical="center" shrinkToFit="1"/>
    </xf>
    <xf numFmtId="0" fontId="7" fillId="0" borderId="28" xfId="0" applyNumberFormat="1" applyFont="1" applyBorder="1" applyAlignment="1">
      <alignment horizontal="left" vertical="center" shrinkToFit="1"/>
    </xf>
    <xf numFmtId="41" fontId="16" fillId="0" borderId="2" xfId="2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 shrinkToFit="1"/>
    </xf>
    <xf numFmtId="0" fontId="9" fillId="0" borderId="40" xfId="0" applyNumberFormat="1" applyFont="1" applyBorder="1" applyAlignment="1">
      <alignment horizontal="center" vertical="center" wrapText="1"/>
    </xf>
    <xf numFmtId="41" fontId="8" fillId="0" borderId="44" xfId="2" applyNumberFormat="1" applyFont="1" applyBorder="1">
      <alignment vertical="center"/>
    </xf>
    <xf numFmtId="41" fontId="8" fillId="2" borderId="44" xfId="4" applyNumberFormat="1" applyFont="1" applyFill="1" applyBorder="1">
      <alignment vertical="center"/>
    </xf>
    <xf numFmtId="176" fontId="8" fillId="0" borderId="44" xfId="2" applyNumberFormat="1" applyFont="1" applyBorder="1" applyAlignment="1">
      <alignment horizontal="right" vertical="center"/>
    </xf>
    <xf numFmtId="177" fontId="8" fillId="0" borderId="44" xfId="2" applyNumberFormat="1" applyFont="1" applyBorder="1">
      <alignment vertical="center"/>
    </xf>
    <xf numFmtId="0" fontId="7" fillId="0" borderId="28" xfId="0" applyNumberFormat="1" applyFont="1" applyBorder="1" applyAlignment="1">
      <alignment horizontal="center" vertical="center"/>
    </xf>
    <xf numFmtId="41" fontId="7" fillId="0" borderId="28" xfId="0" applyNumberFormat="1" applyFont="1" applyBorder="1">
      <alignment vertical="center"/>
    </xf>
    <xf numFmtId="0" fontId="7" fillId="0" borderId="20" xfId="0" applyNumberFormat="1" applyFont="1" applyBorder="1" applyAlignment="1">
      <alignment horizontal="center" vertical="center"/>
    </xf>
    <xf numFmtId="177" fontId="8" fillId="0" borderId="59" xfId="4" applyNumberFormat="1" applyFont="1" applyBorder="1" applyAlignment="1">
      <alignment vertical="center"/>
    </xf>
    <xf numFmtId="0" fontId="8" fillId="0" borderId="4" xfId="0" applyNumberFormat="1" applyFont="1" applyBorder="1" applyAlignment="1">
      <alignment horizontal="center" vertical="center" shrinkToFit="1"/>
    </xf>
    <xf numFmtId="177" fontId="8" fillId="0" borderId="52" xfId="4" applyNumberFormat="1" applyFont="1" applyBorder="1" applyAlignment="1">
      <alignment vertical="center"/>
    </xf>
    <xf numFmtId="41" fontId="8" fillId="2" borderId="54" xfId="4" applyNumberFormat="1" applyFont="1" applyFill="1" applyBorder="1">
      <alignment vertical="center"/>
    </xf>
    <xf numFmtId="177" fontId="8" fillId="0" borderId="16" xfId="4" applyNumberFormat="1" applyFont="1" applyBorder="1" applyAlignment="1">
      <alignment vertical="center"/>
    </xf>
    <xf numFmtId="177" fontId="8" fillId="0" borderId="53" xfId="4" applyNumberFormat="1" applyFont="1" applyBorder="1" applyAlignment="1">
      <alignment vertical="center"/>
    </xf>
    <xf numFmtId="176" fontId="7" fillId="0" borderId="28" xfId="4" applyNumberFormat="1" applyFont="1" applyBorder="1">
      <alignment vertical="center"/>
    </xf>
    <xf numFmtId="0" fontId="15" fillId="0" borderId="9" xfId="0" applyNumberFormat="1" applyFont="1" applyBorder="1" applyAlignment="1">
      <alignment horizontal="center" vertical="center" shrinkToFit="1"/>
    </xf>
    <xf numFmtId="0" fontId="7" fillId="0" borderId="36" xfId="0" applyNumberFormat="1" applyFont="1" applyBorder="1" applyAlignment="1">
      <alignment horizontal="center" vertical="center"/>
    </xf>
    <xf numFmtId="177" fontId="8" fillId="0" borderId="51" xfId="4" applyNumberFormat="1" applyFont="1" applyBorder="1" applyAlignment="1">
      <alignment vertical="center" shrinkToFit="1"/>
    </xf>
    <xf numFmtId="0" fontId="8" fillId="0" borderId="4" xfId="0" applyNumberFormat="1" applyFont="1" applyBorder="1" applyAlignment="1">
      <alignment horizontal="center" vertical="center" wrapText="1"/>
    </xf>
    <xf numFmtId="176" fontId="7" fillId="0" borderId="0" xfId="4" applyNumberFormat="1" applyFont="1" applyBorder="1">
      <alignment vertical="center"/>
    </xf>
    <xf numFmtId="41" fontId="16" fillId="0" borderId="16" xfId="2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 vertical="center" shrinkToFit="1"/>
    </xf>
    <xf numFmtId="0" fontId="8" fillId="0" borderId="54" xfId="0" applyNumberFormat="1" applyFont="1" applyBorder="1">
      <alignment vertical="center"/>
    </xf>
    <xf numFmtId="176" fontId="8" fillId="0" borderId="54" xfId="0" applyNumberFormat="1" applyFont="1" applyBorder="1" applyAlignment="1">
      <alignment horizontal="right" vertical="center"/>
    </xf>
    <xf numFmtId="0" fontId="7" fillId="0" borderId="52" xfId="0" applyNumberFormat="1" applyFont="1" applyBorder="1">
      <alignment vertical="center"/>
    </xf>
    <xf numFmtId="0" fontId="7" fillId="0" borderId="24" xfId="0" applyNumberFormat="1" applyFont="1" applyBorder="1" applyAlignment="1">
      <alignment horizontal="center" vertical="center" shrinkToFit="1"/>
    </xf>
    <xf numFmtId="0" fontId="8" fillId="0" borderId="51" xfId="0" applyNumberFormat="1" applyFont="1" applyBorder="1">
      <alignment vertical="center"/>
    </xf>
    <xf numFmtId="176" fontId="8" fillId="0" borderId="51" xfId="0" applyNumberFormat="1" applyFont="1" applyBorder="1" applyAlignment="1">
      <alignment horizontal="right" vertical="center"/>
    </xf>
    <xf numFmtId="0" fontId="14" fillId="0" borderId="16" xfId="0" applyNumberFormat="1" applyFont="1" applyBorder="1" applyAlignment="1">
      <alignment horizontal="left" vertical="center"/>
    </xf>
    <xf numFmtId="41" fontId="8" fillId="0" borderId="16" xfId="2" applyNumberFormat="1" applyFont="1" applyBorder="1" applyAlignment="1">
      <alignment horizontal="center" vertical="center"/>
    </xf>
    <xf numFmtId="0" fontId="14" fillId="0" borderId="53" xfId="0" applyNumberFormat="1" applyFont="1" applyBorder="1" applyAlignment="1">
      <alignment horizontal="left" vertical="center"/>
    </xf>
    <xf numFmtId="177" fontId="8" fillId="0" borderId="44" xfId="2" applyNumberFormat="1" applyFont="1" applyBorder="1" applyAlignment="1">
      <alignment horizontal="right" vertical="center"/>
    </xf>
    <xf numFmtId="0" fontId="7" fillId="0" borderId="60" xfId="0" applyNumberFormat="1" applyFont="1" applyBorder="1" applyAlignment="1">
      <alignment horizontal="left" vertical="center"/>
    </xf>
    <xf numFmtId="177" fontId="8" fillId="0" borderId="59" xfId="4" applyNumberFormat="1" applyFont="1" applyBorder="1" applyAlignment="1">
      <alignment horizontal="right" vertical="center"/>
    </xf>
    <xf numFmtId="0" fontId="15" fillId="0" borderId="36" xfId="0" applyNumberFormat="1" applyFont="1" applyBorder="1" applyAlignment="1">
      <alignment horizontal="left" vertical="center"/>
    </xf>
    <xf numFmtId="41" fontId="15" fillId="0" borderId="0" xfId="4" applyNumberFormat="1" applyFont="1" applyBorder="1">
      <alignment vertical="center"/>
    </xf>
    <xf numFmtId="0" fontId="15" fillId="0" borderId="0" xfId="0" applyNumberFormat="1" applyFont="1" applyBorder="1">
      <alignment vertical="center"/>
    </xf>
    <xf numFmtId="0" fontId="20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0" xfId="0" quotePrefix="1" applyNumberFormat="1" applyFont="1" applyBorder="1" applyAlignment="1">
      <alignment horizontal="center" vertical="center"/>
    </xf>
    <xf numFmtId="0" fontId="15" fillId="0" borderId="16" xfId="0" applyNumberFormat="1" applyFont="1" applyBorder="1" applyAlignment="1">
      <alignment horizontal="left" vertical="center"/>
    </xf>
    <xf numFmtId="177" fontId="8" fillId="0" borderId="59" xfId="4" applyNumberFormat="1" applyFont="1" applyBorder="1" applyAlignment="1">
      <alignment horizontal="right" vertical="center"/>
    </xf>
    <xf numFmtId="0" fontId="15" fillId="0" borderId="60" xfId="0" applyNumberFormat="1" applyFont="1" applyBorder="1" applyAlignment="1">
      <alignment horizontal="left" vertical="center"/>
    </xf>
    <xf numFmtId="0" fontId="7" fillId="0" borderId="53" xfId="0" applyNumberFormat="1" applyFont="1" applyBorder="1" applyAlignment="1">
      <alignment horizontal="left" vertical="center" wrapText="1"/>
    </xf>
    <xf numFmtId="176" fontId="8" fillId="0" borderId="60" xfId="4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 shrinkToFit="1"/>
    </xf>
    <xf numFmtId="0" fontId="16" fillId="0" borderId="16" xfId="0" applyNumberFormat="1" applyFont="1" applyBorder="1">
      <alignment vertical="center"/>
    </xf>
    <xf numFmtId="0" fontId="7" fillId="0" borderId="35" xfId="0" applyNumberFormat="1" applyFont="1" applyBorder="1" applyAlignment="1">
      <alignment horizontal="center" vertical="center"/>
    </xf>
    <xf numFmtId="41" fontId="8" fillId="0" borderId="54" xfId="2" applyNumberFormat="1" applyFont="1" applyBorder="1" applyAlignment="1">
      <alignment horizontal="center" vertical="center"/>
    </xf>
    <xf numFmtId="176" fontId="8" fillId="0" borderId="54" xfId="2" applyNumberFormat="1" applyFont="1" applyBorder="1" applyAlignment="1">
      <alignment horizontal="right" vertical="center"/>
    </xf>
    <xf numFmtId="177" fontId="8" fillId="0" borderId="54" xfId="2" applyNumberFormat="1" applyFont="1" applyBorder="1">
      <alignment vertical="center"/>
    </xf>
    <xf numFmtId="0" fontId="7" fillId="0" borderId="26" xfId="0" applyFont="1" applyBorder="1" applyAlignment="1">
      <alignment horizontal="left" vertical="center"/>
    </xf>
    <xf numFmtId="41" fontId="7" fillId="0" borderId="26" xfId="4" applyFont="1" applyBorder="1">
      <alignment vertical="center"/>
    </xf>
    <xf numFmtId="0" fontId="7" fillId="0" borderId="26" xfId="0" applyFont="1" applyBorder="1">
      <alignment vertical="center"/>
    </xf>
    <xf numFmtId="0" fontId="17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>
      <alignment vertical="center"/>
    </xf>
    <xf numFmtId="0" fontId="7" fillId="0" borderId="0" xfId="0" applyFont="1" applyBorder="1" applyAlignment="1">
      <alignment horizontal="left" vertical="center" shrinkToFit="1"/>
    </xf>
    <xf numFmtId="41" fontId="7" fillId="0" borderId="0" xfId="4" applyFont="1" applyBorder="1">
      <alignment vertical="center"/>
    </xf>
    <xf numFmtId="0" fontId="7" fillId="0" borderId="53" xfId="0" applyFont="1" applyBorder="1" applyAlignment="1">
      <alignment horizontal="left" vertical="center" shrinkToFit="1"/>
    </xf>
    <xf numFmtId="0" fontId="7" fillId="0" borderId="28" xfId="0" applyFont="1" applyBorder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28" xfId="0" applyFont="1" applyBorder="1" applyAlignment="1">
      <alignment horizontal="left" vertical="center" shrinkToFit="1"/>
    </xf>
    <xf numFmtId="181" fontId="8" fillId="0" borderId="54" xfId="4" applyNumberFormat="1" applyFont="1" applyBorder="1" applyAlignment="1">
      <alignment horizontal="right" vertical="center"/>
    </xf>
    <xf numFmtId="181" fontId="8" fillId="0" borderId="51" xfId="4" applyNumberFormat="1" applyFont="1" applyBorder="1" applyAlignment="1">
      <alignment horizontal="right" vertical="center"/>
    </xf>
    <xf numFmtId="0" fontId="15" fillId="0" borderId="4" xfId="0" applyNumberFormat="1" applyFont="1" applyBorder="1" applyAlignment="1">
      <alignment vertical="center" wrapText="1"/>
    </xf>
    <xf numFmtId="0" fontId="7" fillId="0" borderId="0" xfId="0" applyNumberFormat="1" applyFont="1" applyBorder="1" applyAlignment="1">
      <alignment horizontal="left" vertical="top" wrapText="1"/>
    </xf>
    <xf numFmtId="0" fontId="7" fillId="0" borderId="20" xfId="0" applyNumberFormat="1" applyFont="1" applyBorder="1" applyAlignment="1">
      <alignment horizontal="center" vertical="center"/>
    </xf>
    <xf numFmtId="41" fontId="15" fillId="0" borderId="39" xfId="2" applyNumberFormat="1" applyFont="1" applyBorder="1">
      <alignment vertical="center"/>
    </xf>
    <xf numFmtId="0" fontId="7" fillId="0" borderId="53" xfId="0" applyNumberFormat="1" applyFont="1" applyBorder="1">
      <alignment vertical="center"/>
    </xf>
    <xf numFmtId="176" fontId="8" fillId="0" borderId="59" xfId="0" applyNumberFormat="1" applyFont="1" applyBorder="1" applyAlignment="1">
      <alignment horizontal="right" vertical="center"/>
    </xf>
    <xf numFmtId="176" fontId="8" fillId="2" borderId="59" xfId="0" applyNumberFormat="1" applyFont="1" applyFill="1" applyBorder="1" applyAlignment="1">
      <alignment horizontal="right" vertical="center"/>
    </xf>
    <xf numFmtId="0" fontId="7" fillId="0" borderId="8" xfId="0" applyNumberFormat="1" applyFont="1" applyBorder="1" applyAlignment="1">
      <alignment horizontal="center" vertical="center"/>
    </xf>
    <xf numFmtId="41" fontId="8" fillId="2" borderId="60" xfId="4" applyNumberFormat="1" applyFont="1" applyFill="1" applyBorder="1" applyAlignment="1">
      <alignment horizontal="center" vertical="center"/>
    </xf>
    <xf numFmtId="0" fontId="8" fillId="0" borderId="2" xfId="0" applyNumberFormat="1" applyFont="1" applyBorder="1">
      <alignment vertical="center"/>
    </xf>
    <xf numFmtId="0" fontId="8" fillId="0" borderId="4" xfId="0" applyNumberFormat="1" applyFont="1" applyBorder="1">
      <alignment vertical="center"/>
    </xf>
    <xf numFmtId="0" fontId="7" fillId="0" borderId="16" xfId="0" applyNumberFormat="1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left" vertical="center" wrapText="1"/>
    </xf>
    <xf numFmtId="41" fontId="8" fillId="0" borderId="51" xfId="2" applyNumberFormat="1" applyFont="1" applyBorder="1" applyAlignment="1">
      <alignment horizontal="center" vertical="center"/>
    </xf>
    <xf numFmtId="176" fontId="8" fillId="0" borderId="51" xfId="2" applyNumberFormat="1" applyFont="1" applyBorder="1" applyAlignment="1">
      <alignment horizontal="right" vertical="center"/>
    </xf>
    <xf numFmtId="177" fontId="8" fillId="0" borderId="51" xfId="2" applyNumberFormat="1" applyFont="1" applyBorder="1">
      <alignment vertical="center"/>
    </xf>
    <xf numFmtId="0" fontId="8" fillId="0" borderId="51" xfId="0" applyNumberFormat="1" applyFont="1" applyBorder="1" applyAlignment="1">
      <alignment horizontal="center" vertical="center"/>
    </xf>
    <xf numFmtId="177" fontId="8" fillId="0" borderId="51" xfId="0" applyNumberFormat="1" applyFont="1" applyBorder="1" applyAlignment="1">
      <alignment vertical="center"/>
    </xf>
    <xf numFmtId="41" fontId="16" fillId="0" borderId="14" xfId="2" applyNumberFormat="1" applyFont="1" applyBorder="1" applyAlignment="1">
      <alignment horizontal="center" vertical="center"/>
    </xf>
    <xf numFmtId="41" fontId="16" fillId="0" borderId="59" xfId="2" applyNumberFormat="1" applyFont="1" applyBorder="1" applyAlignment="1">
      <alignment horizontal="center" vertical="center"/>
    </xf>
    <xf numFmtId="41" fontId="16" fillId="2" borderId="59" xfId="4" applyNumberFormat="1" applyFont="1" applyFill="1" applyBorder="1" applyAlignment="1">
      <alignment horizontal="center" vertical="center"/>
    </xf>
    <xf numFmtId="176" fontId="16" fillId="0" borderId="59" xfId="2" applyNumberFormat="1" applyFont="1" applyBorder="1" applyAlignment="1">
      <alignment horizontal="right" vertical="center"/>
    </xf>
    <xf numFmtId="177" fontId="16" fillId="0" borderId="59" xfId="2" applyNumberFormat="1" applyFont="1" applyBorder="1">
      <alignment vertical="center"/>
    </xf>
    <xf numFmtId="41" fontId="8" fillId="0" borderId="59" xfId="2" applyNumberFormat="1" applyFont="1" applyBorder="1">
      <alignment vertical="center"/>
    </xf>
    <xf numFmtId="41" fontId="8" fillId="2" borderId="59" xfId="2" applyNumberFormat="1" applyFont="1" applyFill="1" applyBorder="1" applyAlignment="1">
      <alignment horizontal="center" vertical="center"/>
    </xf>
    <xf numFmtId="0" fontId="7" fillId="0" borderId="16" xfId="6" applyNumberFormat="1" applyFont="1" applyBorder="1" applyAlignment="1">
      <alignment horizontal="left" vertical="center"/>
    </xf>
    <xf numFmtId="0" fontId="7" fillId="0" borderId="26" xfId="6" applyNumberFormat="1" applyFont="1" applyBorder="1">
      <alignment vertical="center"/>
    </xf>
    <xf numFmtId="0" fontId="17" fillId="0" borderId="26" xfId="6" applyNumberFormat="1" applyFont="1" applyBorder="1" applyAlignment="1">
      <alignment horizontal="center" vertical="center"/>
    </xf>
    <xf numFmtId="0" fontId="7" fillId="0" borderId="26" xfId="6" applyNumberFormat="1" applyFont="1" applyBorder="1" applyAlignment="1">
      <alignment horizontal="center" vertical="center"/>
    </xf>
    <xf numFmtId="0" fontId="7" fillId="0" borderId="26" xfId="6" quotePrefix="1" applyNumberFormat="1" applyFont="1" applyBorder="1" applyAlignment="1">
      <alignment horizontal="center" vertical="center"/>
    </xf>
    <xf numFmtId="0" fontId="7" fillId="0" borderId="27" xfId="6" applyNumberFormat="1" applyFont="1" applyBorder="1">
      <alignment vertical="center"/>
    </xf>
    <xf numFmtId="0" fontId="7" fillId="0" borderId="7" xfId="0" applyNumberFormat="1" applyFont="1" applyBorder="1" applyAlignment="1">
      <alignment horizontal="center" vertical="center" shrinkToFit="1"/>
    </xf>
    <xf numFmtId="0" fontId="7" fillId="0" borderId="0" xfId="6" applyNumberFormat="1" applyFont="1" applyBorder="1">
      <alignment vertical="center"/>
    </xf>
    <xf numFmtId="0" fontId="17" fillId="0" borderId="0" xfId="6" applyNumberFormat="1" applyFont="1" applyBorder="1" applyAlignment="1">
      <alignment horizontal="center" vertical="center"/>
    </xf>
    <xf numFmtId="0" fontId="7" fillId="0" borderId="0" xfId="6" applyNumberFormat="1" applyFont="1" applyBorder="1" applyAlignment="1">
      <alignment horizontal="center" vertical="center"/>
    </xf>
    <xf numFmtId="0" fontId="7" fillId="0" borderId="0" xfId="6" quotePrefix="1" applyNumberFormat="1" applyFont="1" applyBorder="1" applyAlignment="1">
      <alignment horizontal="center" vertical="center"/>
    </xf>
    <xf numFmtId="0" fontId="7" fillId="0" borderId="25" xfId="6" applyNumberFormat="1" applyFont="1" applyBorder="1">
      <alignment vertical="center"/>
    </xf>
    <xf numFmtId="0" fontId="7" fillId="0" borderId="13" xfId="0" applyNumberFormat="1" applyFont="1" applyBorder="1" applyAlignment="1">
      <alignment horizontal="center" vertical="center"/>
    </xf>
    <xf numFmtId="41" fontId="8" fillId="0" borderId="44" xfId="2" applyNumberFormat="1" applyFont="1" applyBorder="1" applyAlignment="1">
      <alignment horizontal="center" vertical="center"/>
    </xf>
    <xf numFmtId="41" fontId="8" fillId="2" borderId="44" xfId="2" applyNumberFormat="1" applyFont="1" applyFill="1" applyBorder="1" applyAlignment="1">
      <alignment horizontal="center" vertical="center"/>
    </xf>
    <xf numFmtId="0" fontId="7" fillId="0" borderId="18" xfId="6" applyNumberFormat="1" applyFont="1" applyBorder="1">
      <alignment vertical="center"/>
    </xf>
    <xf numFmtId="0" fontId="7" fillId="0" borderId="16" xfId="6" applyNumberFormat="1" applyFont="1" applyBorder="1" applyAlignment="1">
      <alignment horizontal="left" vertical="center" shrinkToFit="1"/>
    </xf>
    <xf numFmtId="0" fontId="7" fillId="0" borderId="13" xfId="0" applyNumberFormat="1" applyFont="1" applyBorder="1" applyAlignment="1">
      <alignment horizontal="center" vertical="center" shrinkToFit="1"/>
    </xf>
    <xf numFmtId="0" fontId="7" fillId="0" borderId="21" xfId="0" applyNumberFormat="1" applyFont="1" applyBorder="1" applyAlignment="1">
      <alignment horizontal="center" vertical="center" shrinkToFit="1"/>
    </xf>
    <xf numFmtId="41" fontId="8" fillId="2" borderId="54" xfId="2" applyNumberFormat="1" applyFont="1" applyFill="1" applyBorder="1" applyAlignment="1">
      <alignment horizontal="center" vertical="center"/>
    </xf>
    <xf numFmtId="177" fontId="7" fillId="0" borderId="59" xfId="2" applyNumberFormat="1" applyFont="1" applyBorder="1" applyAlignment="1">
      <alignment horizontal="right" vertical="center"/>
    </xf>
    <xf numFmtId="0" fontId="7" fillId="0" borderId="21" xfId="0" applyNumberFormat="1" applyFont="1" applyBorder="1" applyAlignment="1">
      <alignment horizontal="center" vertical="center"/>
    </xf>
    <xf numFmtId="41" fontId="8" fillId="2" borderId="51" xfId="2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 shrinkToFit="1"/>
    </xf>
    <xf numFmtId="0" fontId="14" fillId="0" borderId="7" xfId="0" applyNumberFormat="1" applyFont="1" applyBorder="1" applyAlignment="1">
      <alignment horizontal="center" vertical="center"/>
    </xf>
    <xf numFmtId="0" fontId="14" fillId="0" borderId="24" xfId="0" applyNumberFormat="1" applyFont="1" applyBorder="1" applyAlignment="1">
      <alignment horizontal="center" vertical="center" shrinkToFit="1"/>
    </xf>
    <xf numFmtId="0" fontId="7" fillId="0" borderId="24" xfId="0" applyNumberFormat="1" applyFont="1" applyBorder="1" applyAlignment="1">
      <alignment horizontal="center" vertical="center" shrinkToFit="1"/>
    </xf>
    <xf numFmtId="181" fontId="8" fillId="0" borderId="54" xfId="2" applyNumberFormat="1" applyFont="1" applyBorder="1" applyAlignment="1">
      <alignment horizontal="right" vertical="center"/>
    </xf>
    <xf numFmtId="41" fontId="16" fillId="0" borderId="15" xfId="2" applyNumberFormat="1" applyFont="1" applyBorder="1" applyAlignment="1">
      <alignment horizontal="center" vertical="center"/>
    </xf>
    <xf numFmtId="0" fontId="7" fillId="0" borderId="53" xfId="6" applyNumberFormat="1" applyFont="1" applyBorder="1" applyAlignment="1">
      <alignment horizontal="left" vertical="center"/>
    </xf>
    <xf numFmtId="0" fontId="7" fillId="0" borderId="28" xfId="6" applyNumberFormat="1" applyFont="1" applyBorder="1">
      <alignment vertical="center"/>
    </xf>
    <xf numFmtId="0" fontId="17" fillId="0" borderId="28" xfId="6" applyNumberFormat="1" applyFont="1" applyBorder="1" applyAlignment="1">
      <alignment horizontal="center" vertical="center"/>
    </xf>
    <xf numFmtId="0" fontId="7" fillId="0" borderId="28" xfId="6" applyNumberFormat="1" applyFont="1" applyBorder="1" applyAlignment="1">
      <alignment horizontal="center" vertical="center"/>
    </xf>
    <xf numFmtId="0" fontId="7" fillId="0" borderId="28" xfId="6" quotePrefix="1" applyNumberFormat="1" applyFont="1" applyBorder="1" applyAlignment="1">
      <alignment horizontal="center" vertical="center"/>
    </xf>
    <xf numFmtId="0" fontId="16" fillId="0" borderId="22" xfId="0" applyNumberFormat="1" applyFont="1" applyBorder="1" applyAlignment="1">
      <alignment horizontal="center" vertical="center"/>
    </xf>
    <xf numFmtId="41" fontId="16" fillId="0" borderId="59" xfId="2" applyNumberFormat="1" applyFont="1" applyBorder="1" applyAlignment="1">
      <alignment vertical="center" wrapText="1"/>
    </xf>
    <xf numFmtId="41" fontId="16" fillId="0" borderId="54" xfId="2" applyNumberFormat="1" applyFont="1" applyBorder="1" applyAlignment="1">
      <alignment vertical="center" wrapText="1"/>
    </xf>
    <xf numFmtId="176" fontId="16" fillId="0" borderId="54" xfId="2" applyNumberFormat="1" applyFont="1" applyBorder="1" applyAlignment="1">
      <alignment horizontal="right" vertical="center" shrinkToFit="1"/>
    </xf>
    <xf numFmtId="177" fontId="16" fillId="0" borderId="54" xfId="2" applyNumberFormat="1" applyFont="1" applyBorder="1" applyAlignment="1">
      <alignment vertical="center" wrapText="1"/>
    </xf>
    <xf numFmtId="0" fontId="16" fillId="0" borderId="9" xfId="0" applyNumberFormat="1" applyFont="1" applyBorder="1" applyAlignment="1">
      <alignment horizontal="center" vertical="top" wrapText="1"/>
    </xf>
    <xf numFmtId="41" fontId="8" fillId="0" borderId="54" xfId="2" applyNumberFormat="1" applyFont="1" applyBorder="1" applyAlignment="1">
      <alignment horizontal="center" vertical="center" wrapText="1"/>
    </xf>
    <xf numFmtId="41" fontId="8" fillId="0" borderId="54" xfId="2" applyNumberFormat="1" applyFont="1" applyBorder="1">
      <alignment vertical="center"/>
    </xf>
    <xf numFmtId="0" fontId="16" fillId="0" borderId="4" xfId="0" applyNumberFormat="1" applyFont="1" applyBorder="1" applyAlignment="1">
      <alignment horizontal="center" vertical="top" wrapText="1"/>
    </xf>
    <xf numFmtId="41" fontId="8" fillId="0" borderId="51" xfId="2" applyNumberFormat="1" applyFont="1" applyBorder="1" applyAlignment="1">
      <alignment horizontal="center" vertical="center" wrapText="1"/>
    </xf>
    <xf numFmtId="0" fontId="7" fillId="0" borderId="16" xfId="0" applyNumberFormat="1" applyFont="1" applyBorder="1" applyAlignment="1">
      <alignment vertical="center" wrapText="1"/>
    </xf>
    <xf numFmtId="41" fontId="8" fillId="0" borderId="51" xfId="2" applyNumberFormat="1" applyFont="1" applyBorder="1">
      <alignment vertical="center"/>
    </xf>
    <xf numFmtId="0" fontId="7" fillId="0" borderId="36" xfId="0" applyNumberFormat="1" applyFont="1" applyBorder="1" applyAlignment="1">
      <alignment vertical="center" wrapText="1"/>
    </xf>
    <xf numFmtId="41" fontId="8" fillId="0" borderId="44" xfId="2" applyNumberFormat="1" applyFont="1" applyBorder="1" applyAlignment="1">
      <alignment horizontal="center" vertical="center" wrapText="1"/>
    </xf>
    <xf numFmtId="0" fontId="7" fillId="0" borderId="40" xfId="0" applyNumberFormat="1" applyFont="1" applyBorder="1" applyAlignment="1">
      <alignment vertical="center" wrapText="1"/>
    </xf>
    <xf numFmtId="41" fontId="7" fillId="0" borderId="28" xfId="2" applyNumberFormat="1" applyFont="1" applyBorder="1" applyAlignment="1">
      <alignment vertical="center" shrinkToFit="1"/>
    </xf>
    <xf numFmtId="41" fontId="8" fillId="0" borderId="27" xfId="2" applyNumberFormat="1" applyFont="1" applyBorder="1">
      <alignment vertical="center"/>
    </xf>
    <xf numFmtId="41" fontId="8" fillId="0" borderId="10" xfId="2" applyNumberFormat="1" applyFont="1" applyBorder="1" applyAlignment="1">
      <alignment horizontal="center" vertical="center"/>
    </xf>
    <xf numFmtId="0" fontId="16" fillId="0" borderId="12" xfId="0" applyNumberFormat="1" applyFont="1" applyBorder="1" applyAlignment="1">
      <alignment horizontal="center" vertical="top" wrapText="1"/>
    </xf>
    <xf numFmtId="0" fontId="7" fillId="0" borderId="69" xfId="0" applyNumberFormat="1" applyFont="1" applyBorder="1" applyAlignment="1">
      <alignment horizontal="center" vertical="center" wrapText="1"/>
    </xf>
    <xf numFmtId="176" fontId="8" fillId="0" borderId="66" xfId="2" applyNumberFormat="1" applyFont="1" applyBorder="1" applyAlignment="1">
      <alignment horizontal="right" vertical="center"/>
    </xf>
    <xf numFmtId="41" fontId="8" fillId="0" borderId="66" xfId="2" applyNumberFormat="1" applyFont="1" applyBorder="1" applyAlignment="1">
      <alignment horizontal="center" vertical="center"/>
    </xf>
    <xf numFmtId="41" fontId="8" fillId="0" borderId="61" xfId="2" applyNumberFormat="1" applyFont="1" applyBorder="1">
      <alignment vertical="center"/>
    </xf>
    <xf numFmtId="177" fontId="8" fillId="0" borderId="66" xfId="2" applyNumberFormat="1" applyFont="1" applyBorder="1" applyAlignment="1">
      <alignment horizontal="right" vertical="center"/>
    </xf>
    <xf numFmtId="0" fontId="7" fillId="0" borderId="63" xfId="0" applyNumberFormat="1" applyFont="1" applyBorder="1" applyAlignment="1">
      <alignment horizontal="left" vertical="center" shrinkToFit="1"/>
    </xf>
    <xf numFmtId="0" fontId="7" fillId="0" borderId="6" xfId="0" applyNumberFormat="1" applyFont="1" applyBorder="1">
      <alignment vertical="center"/>
    </xf>
    <xf numFmtId="41" fontId="7" fillId="0" borderId="6" xfId="0" applyNumberFormat="1" applyFont="1" applyBorder="1">
      <alignment vertical="center"/>
    </xf>
    <xf numFmtId="0" fontId="16" fillId="0" borderId="0" xfId="0" applyNumberFormat="1" applyFont="1" applyAlignment="1">
      <alignment horizontal="center" vertical="top" wrapText="1"/>
    </xf>
    <xf numFmtId="0" fontId="7" fillId="0" borderId="0" xfId="0" applyNumberFormat="1" applyFont="1" applyAlignment="1">
      <alignment horizontal="center" vertical="center" wrapText="1"/>
    </xf>
    <xf numFmtId="177" fontId="8" fillId="0" borderId="0" xfId="2" applyNumberFormat="1" applyFont="1" applyAlignment="1">
      <alignment horizontal="right" vertical="center"/>
    </xf>
    <xf numFmtId="0" fontId="7" fillId="0" borderId="0" xfId="0" applyNumberFormat="1" applyFont="1" applyAlignment="1">
      <alignment horizontal="left" vertical="center" shrinkToFit="1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4" fillId="0" borderId="0" xfId="0" applyNumberFormat="1" applyFont="1" applyAlignment="1">
      <alignment horizontal="left"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3"/>
  <sheetViews>
    <sheetView topLeftCell="A4" zoomScaleNormal="100" zoomScaleSheetLayoutView="75" workbookViewId="0">
      <selection activeCell="R13" sqref="R13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28" t="s">
        <v>453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>
      <c r="B3" s="2"/>
    </row>
    <row r="4" spans="1:16">
      <c r="B4" s="2"/>
    </row>
    <row r="5" spans="1:16" ht="21.75" customHeight="1">
      <c r="B5" s="3" t="s">
        <v>360</v>
      </c>
      <c r="C5" s="29" t="s">
        <v>468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6" ht="21.75" customHeight="1">
      <c r="B6" s="3"/>
      <c r="C6" s="30" t="s">
        <v>469</v>
      </c>
      <c r="D6" s="30"/>
      <c r="E6" s="30"/>
      <c r="F6" s="30"/>
      <c r="G6" s="30"/>
      <c r="H6" s="30"/>
      <c r="I6" s="30"/>
      <c r="J6" s="30"/>
      <c r="K6" s="30"/>
      <c r="L6" s="30"/>
      <c r="M6" s="4"/>
      <c r="N6" s="4"/>
      <c r="O6" s="4"/>
    </row>
    <row r="7" spans="1:16" ht="21.75" customHeight="1">
      <c r="B7" s="3"/>
      <c r="C7" s="29" t="s">
        <v>172</v>
      </c>
      <c r="D7" s="29"/>
      <c r="E7" s="33" t="s">
        <v>172</v>
      </c>
      <c r="F7" s="33"/>
      <c r="G7" s="29"/>
      <c r="H7" s="29"/>
      <c r="I7" s="29"/>
      <c r="J7" s="29"/>
      <c r="K7" s="29"/>
      <c r="L7" s="29"/>
      <c r="M7" s="4"/>
      <c r="N7" s="4"/>
      <c r="O7" s="4"/>
    </row>
    <row r="8" spans="1:16" ht="21.75" customHeight="1">
      <c r="B8" s="3" t="s">
        <v>126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6" ht="21.75" customHeight="1">
      <c r="B9" s="3"/>
      <c r="C9" s="3" t="s">
        <v>401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6" ht="21.75" customHeight="1">
      <c r="B10" s="3"/>
      <c r="C10" s="3"/>
      <c r="D10" s="3" t="s">
        <v>396</v>
      </c>
      <c r="E10" s="4"/>
      <c r="F10" s="31">
        <v>86251</v>
      </c>
      <c r="G10" s="31"/>
      <c r="H10" s="4" t="s">
        <v>190</v>
      </c>
      <c r="I10" s="4" t="s">
        <v>239</v>
      </c>
      <c r="J10" s="31">
        <v>2800</v>
      </c>
      <c r="K10" s="31"/>
      <c r="L10" s="4" t="s">
        <v>190</v>
      </c>
      <c r="M10" s="4"/>
      <c r="N10" s="4"/>
      <c r="O10" s="4"/>
    </row>
    <row r="11" spans="1:16" ht="21.75" customHeight="1">
      <c r="B11" s="3"/>
      <c r="C11" s="3"/>
      <c r="D11" s="3" t="s">
        <v>288</v>
      </c>
      <c r="E11" s="4"/>
      <c r="F11" s="31">
        <v>0</v>
      </c>
      <c r="G11" s="31"/>
      <c r="H11" s="4" t="s">
        <v>190</v>
      </c>
      <c r="I11" s="4" t="s">
        <v>276</v>
      </c>
      <c r="J11" s="31">
        <v>2123529.99988</v>
      </c>
      <c r="K11" s="31"/>
      <c r="L11" s="4" t="s">
        <v>190</v>
      </c>
      <c r="M11" s="4"/>
      <c r="N11" s="4"/>
      <c r="O11" s="4"/>
    </row>
    <row r="12" spans="1:16" ht="21.75" customHeight="1">
      <c r="B12" s="3"/>
      <c r="C12" s="3"/>
      <c r="D12" s="3" t="s">
        <v>207</v>
      </c>
      <c r="E12" s="4"/>
      <c r="F12" s="31">
        <v>1722600</v>
      </c>
      <c r="G12" s="31"/>
      <c r="H12" s="4" t="s">
        <v>190</v>
      </c>
      <c r="I12" s="3" t="s">
        <v>295</v>
      </c>
      <c r="J12" s="32">
        <v>4408295.1519999998</v>
      </c>
      <c r="K12" s="32"/>
      <c r="L12" s="4" t="s">
        <v>190</v>
      </c>
      <c r="M12" s="4"/>
      <c r="N12" s="4"/>
      <c r="O12" s="4"/>
    </row>
    <row r="13" spans="1:16" ht="21.75" customHeight="1">
      <c r="B13" s="3"/>
      <c r="C13" s="3"/>
      <c r="D13" s="3" t="s">
        <v>368</v>
      </c>
      <c r="F13" s="31">
        <v>49720.54</v>
      </c>
      <c r="G13" s="31"/>
      <c r="H13" s="4" t="s">
        <v>190</v>
      </c>
      <c r="I13" s="4"/>
      <c r="J13" s="32"/>
      <c r="K13" s="34"/>
      <c r="L13" s="4"/>
      <c r="M13" s="4"/>
      <c r="N13" s="4"/>
      <c r="O13" s="4"/>
    </row>
    <row r="14" spans="1:16" ht="21.75" customHeight="1">
      <c r="B14" s="3"/>
      <c r="C14" s="3" t="s">
        <v>193</v>
      </c>
      <c r="D14" s="4"/>
      <c r="E14" s="4"/>
      <c r="F14" s="4"/>
      <c r="G14" s="4"/>
      <c r="H14" s="4"/>
      <c r="I14" s="4"/>
      <c r="J14" s="37"/>
      <c r="K14" s="37"/>
      <c r="L14" s="4"/>
      <c r="M14" s="4"/>
      <c r="N14" s="4"/>
      <c r="O14" s="4"/>
    </row>
    <row r="15" spans="1:16" ht="21.75" customHeight="1">
      <c r="B15" s="3"/>
      <c r="C15" s="3"/>
      <c r="D15" s="3" t="s">
        <v>278</v>
      </c>
      <c r="E15" s="4"/>
      <c r="F15" s="31">
        <v>1500622.749845</v>
      </c>
      <c r="G15" s="31"/>
      <c r="H15" s="4" t="s">
        <v>190</v>
      </c>
      <c r="I15" s="4" t="s">
        <v>31</v>
      </c>
      <c r="J15" s="31">
        <v>1253000</v>
      </c>
      <c r="K15" s="31"/>
      <c r="L15" s="4" t="s">
        <v>190</v>
      </c>
      <c r="M15" s="4"/>
      <c r="N15" s="4"/>
      <c r="O15" s="4"/>
    </row>
    <row r="16" spans="1:16" ht="21.75" customHeight="1">
      <c r="B16" s="3"/>
      <c r="C16" s="3"/>
      <c r="D16" s="3" t="s">
        <v>273</v>
      </c>
      <c r="E16" s="4"/>
      <c r="F16" s="31">
        <v>1714895</v>
      </c>
      <c r="G16" s="31"/>
      <c r="H16" s="4" t="s">
        <v>190</v>
      </c>
      <c r="I16" s="4" t="s">
        <v>43</v>
      </c>
      <c r="J16" s="31">
        <v>0</v>
      </c>
      <c r="K16" s="31"/>
      <c r="L16" s="4" t="s">
        <v>190</v>
      </c>
      <c r="M16" s="4"/>
      <c r="N16" s="4"/>
      <c r="O16" s="4"/>
    </row>
    <row r="17" spans="2:15" ht="21.75" customHeight="1">
      <c r="B17" s="3"/>
      <c r="C17" s="3"/>
      <c r="D17" s="3" t="s">
        <v>225</v>
      </c>
      <c r="E17" s="4"/>
      <c r="F17" s="31">
        <v>36000</v>
      </c>
      <c r="G17" s="31"/>
      <c r="H17" s="4" t="s">
        <v>190</v>
      </c>
      <c r="I17" s="4" t="s">
        <v>234</v>
      </c>
      <c r="J17" s="31">
        <v>0</v>
      </c>
      <c r="K17" s="31"/>
      <c r="L17" s="4" t="s">
        <v>190</v>
      </c>
      <c r="M17" s="4"/>
      <c r="N17" s="4"/>
      <c r="O17" s="4"/>
    </row>
    <row r="18" spans="2:15" ht="21.75" customHeight="1">
      <c r="B18" s="3"/>
      <c r="C18" s="3"/>
      <c r="D18" s="3" t="s">
        <v>60</v>
      </c>
      <c r="E18" s="4"/>
      <c r="F18" s="31">
        <v>1358530.0000500001</v>
      </c>
      <c r="G18" s="31"/>
      <c r="H18" s="4" t="s">
        <v>190</v>
      </c>
      <c r="I18" s="5" t="s">
        <v>56</v>
      </c>
      <c r="J18" s="31">
        <v>2530148.9410000001</v>
      </c>
      <c r="K18" s="31"/>
      <c r="L18" s="4" t="s">
        <v>190</v>
      </c>
      <c r="M18" s="4"/>
      <c r="N18" s="4"/>
      <c r="O18" s="4"/>
    </row>
    <row r="19" spans="2:15" ht="21.75" customHeight="1">
      <c r="B19" s="3"/>
      <c r="C19" s="3"/>
      <c r="D19" s="3"/>
      <c r="E19" s="4"/>
      <c r="F19" s="31"/>
      <c r="G19" s="31"/>
      <c r="H19" s="4"/>
      <c r="I19" s="4"/>
      <c r="J19" s="4"/>
      <c r="K19" s="4"/>
      <c r="L19" s="4"/>
      <c r="M19" s="4"/>
      <c r="N19" s="4"/>
      <c r="O19" s="4"/>
    </row>
    <row r="20" spans="2:15" ht="21.75" customHeight="1">
      <c r="B20" s="3" t="s">
        <v>232</v>
      </c>
      <c r="C20" s="4" t="s">
        <v>128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2:15" ht="21.75" customHeight="1">
      <c r="B21" s="3"/>
      <c r="C21" s="4" t="s">
        <v>399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2:15" ht="21.75" customHeight="1">
      <c r="B22" s="3" t="s">
        <v>172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2:15" ht="21.75" customHeight="1">
      <c r="B23" s="3" t="s">
        <v>253</v>
      </c>
      <c r="C23" s="4" t="s">
        <v>129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2:15" ht="21.75" customHeight="1"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2:15" ht="21.75" customHeight="1">
      <c r="B25" s="3"/>
      <c r="C25" s="4"/>
      <c r="D25" s="35"/>
      <c r="E25" s="35"/>
      <c r="F25" s="36"/>
      <c r="G25" s="36"/>
      <c r="H25" s="4"/>
      <c r="I25" s="4"/>
      <c r="J25" s="4"/>
      <c r="K25" s="4"/>
    </row>
    <row r="26" spans="2:15" ht="21.75" customHeight="1">
      <c r="B26" s="3"/>
      <c r="C26" s="4" t="s">
        <v>172</v>
      </c>
      <c r="D26" s="35"/>
      <c r="E26" s="35"/>
      <c r="F26" s="36"/>
      <c r="G26" s="36"/>
      <c r="H26" s="4"/>
      <c r="I26" s="4"/>
      <c r="J26" s="4"/>
      <c r="K26" s="4"/>
    </row>
    <row r="27" spans="2:15" ht="21.75" customHeight="1">
      <c r="B27" s="3"/>
      <c r="C27" s="4"/>
      <c r="D27" s="35"/>
      <c r="E27" s="35"/>
      <c r="F27" s="36"/>
      <c r="G27" s="36"/>
      <c r="H27" s="4"/>
      <c r="I27" s="4"/>
      <c r="J27" s="4"/>
      <c r="K27" s="4"/>
    </row>
    <row r="28" spans="2:15" ht="21.75" customHeight="1">
      <c r="B28" s="3"/>
      <c r="C28" s="4"/>
      <c r="D28" s="4"/>
      <c r="E28" s="4"/>
      <c r="F28" s="4"/>
      <c r="G28" s="4"/>
      <c r="H28" s="4"/>
      <c r="I28" s="4"/>
      <c r="J28" s="4"/>
      <c r="K28" s="4"/>
    </row>
    <row r="29" spans="2:15" ht="21.75" customHeight="1">
      <c r="B29" s="3"/>
      <c r="C29" s="4"/>
      <c r="D29" s="4"/>
      <c r="E29" s="4"/>
      <c r="F29" s="4"/>
      <c r="G29" s="4"/>
      <c r="H29" s="4"/>
      <c r="I29" s="4"/>
      <c r="J29" s="4"/>
      <c r="K29" s="4"/>
    </row>
    <row r="30" spans="2:15" ht="21.75" customHeight="1">
      <c r="B30" s="3"/>
      <c r="C30" s="4"/>
      <c r="D30" s="4"/>
      <c r="E30" s="4"/>
      <c r="F30" s="4"/>
      <c r="G30" s="4"/>
      <c r="H30" s="4"/>
      <c r="I30" s="4"/>
      <c r="J30" s="4"/>
      <c r="K30" s="4"/>
    </row>
    <row r="31" spans="2:15" ht="21.75" customHeight="1">
      <c r="B31" s="3"/>
      <c r="C31" s="4"/>
      <c r="D31" s="4"/>
      <c r="E31" s="4"/>
      <c r="F31" s="4"/>
      <c r="G31" s="4"/>
      <c r="H31" s="4"/>
      <c r="I31" s="4"/>
      <c r="J31" s="4"/>
      <c r="K31" s="4"/>
    </row>
    <row r="32" spans="2:15" ht="21.75" customHeight="1">
      <c r="B32" s="3"/>
      <c r="C32" s="4"/>
      <c r="D32" s="4"/>
      <c r="E32" s="4"/>
      <c r="F32" s="4"/>
      <c r="G32" s="4"/>
      <c r="H32" s="4"/>
      <c r="I32" s="4"/>
      <c r="J32" s="4"/>
      <c r="K32" s="4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J18:K18"/>
    <mergeCell ref="F27:G27"/>
    <mergeCell ref="F19:G19"/>
    <mergeCell ref="F25:G25"/>
    <mergeCell ref="J14:K14"/>
    <mergeCell ref="J15:K15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AA102"/>
  <sheetViews>
    <sheetView view="pageBreakPreview" topLeftCell="A10" zoomScaleNormal="100" zoomScaleSheetLayoutView="100" workbookViewId="0">
      <selection activeCell="AD11" sqref="AD11"/>
    </sheetView>
  </sheetViews>
  <sheetFormatPr defaultColWidth="9" defaultRowHeight="16.5"/>
  <cols>
    <col min="1" max="2" width="7.125" style="291" customWidth="1"/>
    <col min="3" max="3" width="13.25" style="291" customWidth="1"/>
    <col min="4" max="5" width="13.125" style="326" customWidth="1"/>
    <col min="6" max="6" width="0.125" style="326" hidden="1" customWidth="1"/>
    <col min="7" max="7" width="11.625" style="327" customWidth="1"/>
    <col min="8" max="8" width="8.125" style="328" customWidth="1"/>
    <col min="9" max="9" width="20.75" style="117" customWidth="1"/>
    <col min="10" max="10" width="12.5" style="117" customWidth="1"/>
    <col min="11" max="11" width="3.125" style="118" customWidth="1"/>
    <col min="12" max="12" width="2.625" style="118" customWidth="1"/>
    <col min="13" max="14" width="3.125" style="117" customWidth="1"/>
    <col min="15" max="15" width="2.625" style="117" customWidth="1"/>
    <col min="16" max="16" width="13.625" style="117" customWidth="1"/>
    <col min="17" max="17" width="2.5" style="117" customWidth="1"/>
    <col min="18" max="18" width="0.125" style="73" hidden="1" customWidth="1"/>
    <col min="19" max="19" width="20.875" style="74" hidden="1" customWidth="1"/>
    <col min="20" max="20" width="13.5" style="73" hidden="1" customWidth="1"/>
    <col min="21" max="21" width="31.25" style="73" hidden="1" customWidth="1"/>
    <col min="22" max="22" width="0.25" style="73" hidden="1" customWidth="1"/>
    <col min="23" max="26" width="9" style="73" hidden="1" customWidth="1"/>
    <col min="27" max="27" width="11.5" style="73" customWidth="1"/>
    <col min="28" max="16384" width="9" style="73"/>
  </cols>
  <sheetData>
    <row r="1" spans="1:19" ht="22.5">
      <c r="A1" s="72" t="s">
        <v>471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9" ht="22.5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spans="1:19" ht="21.95" customHeight="1">
      <c r="A3" s="76" t="s">
        <v>357</v>
      </c>
      <c r="B3" s="76"/>
      <c r="C3" s="77"/>
      <c r="D3" s="77"/>
      <c r="E3" s="77"/>
      <c r="F3" s="77"/>
      <c r="G3" s="78"/>
      <c r="H3" s="79"/>
      <c r="I3" s="77"/>
      <c r="J3" s="77" t="s">
        <v>172</v>
      </c>
      <c r="K3" s="77"/>
      <c r="L3" s="77"/>
      <c r="M3" s="77"/>
      <c r="N3" s="77"/>
      <c r="O3" s="80" t="s">
        <v>27</v>
      </c>
      <c r="P3" s="80"/>
      <c r="Q3" s="80"/>
    </row>
    <row r="4" spans="1:19" ht="19.5" customHeight="1">
      <c r="A4" s="81" t="s">
        <v>176</v>
      </c>
      <c r="B4" s="82" t="s">
        <v>135</v>
      </c>
      <c r="C4" s="83" t="s">
        <v>132</v>
      </c>
      <c r="D4" s="84" t="s">
        <v>449</v>
      </c>
      <c r="E4" s="84" t="s">
        <v>23</v>
      </c>
      <c r="F4" s="85" t="s">
        <v>199</v>
      </c>
      <c r="G4" s="86" t="s">
        <v>397</v>
      </c>
      <c r="H4" s="86"/>
      <c r="I4" s="87" t="s">
        <v>472</v>
      </c>
      <c r="J4" s="82"/>
      <c r="K4" s="82"/>
      <c r="L4" s="82"/>
      <c r="M4" s="82"/>
      <c r="N4" s="82"/>
      <c r="O4" s="82"/>
      <c r="P4" s="82"/>
      <c r="Q4" s="88"/>
    </row>
    <row r="5" spans="1:19" ht="19.5" customHeight="1">
      <c r="A5" s="89"/>
      <c r="B5" s="90"/>
      <c r="C5" s="91"/>
      <c r="D5" s="92"/>
      <c r="E5" s="92"/>
      <c r="F5" s="93"/>
      <c r="G5" s="94" t="s">
        <v>153</v>
      </c>
      <c r="H5" s="95" t="s">
        <v>353</v>
      </c>
      <c r="I5" s="96"/>
      <c r="J5" s="90"/>
      <c r="K5" s="90"/>
      <c r="L5" s="90"/>
      <c r="M5" s="90"/>
      <c r="N5" s="90"/>
      <c r="O5" s="90"/>
      <c r="P5" s="90"/>
      <c r="Q5" s="97"/>
    </row>
    <row r="6" spans="1:19" ht="20.100000000000001" customHeight="1">
      <c r="A6" s="98" t="s">
        <v>391</v>
      </c>
      <c r="B6" s="99"/>
      <c r="C6" s="100"/>
      <c r="D6" s="101">
        <f>SUM(D7,D65,D35,D81,D25,D31,D86)</f>
        <v>9143392</v>
      </c>
      <c r="E6" s="101">
        <f>SUM(E7,E65,E35,E81,E25,E31,E86)</f>
        <v>8393196.6918799989</v>
      </c>
      <c r="F6" s="102" t="e">
        <f>SUM(F7,#REF!,F65,F35,F81,F25,#REF!,#REF!,F31)</f>
        <v>#REF!</v>
      </c>
      <c r="G6" s="103">
        <f>+E6-D6</f>
        <v>-750195.30812000111</v>
      </c>
      <c r="H6" s="104">
        <f>+G6/D6*100</f>
        <v>-8.2047812028621454</v>
      </c>
      <c r="I6" s="105"/>
      <c r="J6" s="105"/>
      <c r="K6" s="106"/>
      <c r="L6" s="106"/>
      <c r="M6" s="105"/>
      <c r="N6" s="105"/>
      <c r="O6" s="105"/>
      <c r="P6" s="107">
        <f>SUM(P7,P25,P31,P35,P65,P81,P86)</f>
        <v>8393196691.8800001</v>
      </c>
      <c r="Q6" s="108" t="s">
        <v>159</v>
      </c>
    </row>
    <row r="7" spans="1:19" s="121" customFormat="1" ht="18.95" customHeight="1">
      <c r="A7" s="109" t="s">
        <v>178</v>
      </c>
      <c r="B7" s="110" t="s">
        <v>179</v>
      </c>
      <c r="C7" s="111"/>
      <c r="D7" s="112">
        <f>SUM(D8)</f>
        <v>123677</v>
      </c>
      <c r="E7" s="113">
        <f>SUM(E8)</f>
        <v>86251</v>
      </c>
      <c r="F7" s="114">
        <f>SUM(F8)</f>
        <v>71084</v>
      </c>
      <c r="G7" s="115">
        <f>+E7-D7</f>
        <v>-37426</v>
      </c>
      <c r="H7" s="116">
        <f>+G7/D7*100</f>
        <v>-30.261083305707608</v>
      </c>
      <c r="I7" s="117"/>
      <c r="J7" s="117"/>
      <c r="K7" s="118"/>
      <c r="L7" s="118"/>
      <c r="M7" s="117"/>
      <c r="N7" s="117"/>
      <c r="O7" s="117"/>
      <c r="P7" s="119">
        <f>P8</f>
        <v>86251000</v>
      </c>
      <c r="Q7" s="120" t="s">
        <v>159</v>
      </c>
      <c r="S7" s="122"/>
    </row>
    <row r="8" spans="1:19" s="121" customFormat="1" ht="17.100000000000001" customHeight="1">
      <c r="A8" s="109" t="s">
        <v>163</v>
      </c>
      <c r="B8" s="123" t="s">
        <v>166</v>
      </c>
      <c r="C8" s="124" t="s">
        <v>180</v>
      </c>
      <c r="D8" s="125">
        <f>SUM(D9:D24)</f>
        <v>123677</v>
      </c>
      <c r="E8" s="126">
        <f>SUM(E9:E24)</f>
        <v>86251</v>
      </c>
      <c r="F8" s="127">
        <f>SUM(F9:F22)</f>
        <v>71084</v>
      </c>
      <c r="G8" s="128">
        <f>+E8-D8</f>
        <v>-37426</v>
      </c>
      <c r="H8" s="129">
        <f>+G8/D8*100</f>
        <v>-30.261083305707608</v>
      </c>
      <c r="I8" s="130"/>
      <c r="J8" s="130"/>
      <c r="K8" s="131"/>
      <c r="L8" s="131"/>
      <c r="M8" s="130"/>
      <c r="N8" s="130"/>
      <c r="O8" s="130"/>
      <c r="P8" s="132">
        <f>SUM(P9,P17,P19,P23)</f>
        <v>86251000</v>
      </c>
      <c r="Q8" s="133" t="s">
        <v>159</v>
      </c>
      <c r="S8" s="122"/>
    </row>
    <row r="9" spans="1:19" s="121" customFormat="1" ht="17.100000000000001" customHeight="1">
      <c r="A9" s="134"/>
      <c r="B9" s="135" t="s">
        <v>363</v>
      </c>
      <c r="C9" s="136" t="s">
        <v>271</v>
      </c>
      <c r="D9" s="137">
        <v>60940</v>
      </c>
      <c r="E9" s="138">
        <f>+P9/1000</f>
        <v>60940</v>
      </c>
      <c r="F9" s="139">
        <v>0</v>
      </c>
      <c r="G9" s="140">
        <f>+E9-D9</f>
        <v>0</v>
      </c>
      <c r="H9" s="141">
        <f>+G9/D9*100</f>
        <v>0</v>
      </c>
      <c r="I9" s="142"/>
      <c r="J9" s="143"/>
      <c r="K9" s="144"/>
      <c r="L9" s="144"/>
      <c r="M9" s="145" t="s">
        <v>173</v>
      </c>
      <c r="N9" s="145"/>
      <c r="O9" s="145"/>
      <c r="P9" s="143">
        <f>SUM(P10:P16)</f>
        <v>60940000</v>
      </c>
      <c r="Q9" s="133" t="s">
        <v>159</v>
      </c>
      <c r="S9" s="122"/>
    </row>
    <row r="10" spans="1:19" s="121" customFormat="1" ht="17.100000000000001" customHeight="1">
      <c r="A10" s="134"/>
      <c r="B10" s="146"/>
      <c r="C10" s="147"/>
      <c r="D10" s="148"/>
      <c r="E10" s="149"/>
      <c r="F10" s="150"/>
      <c r="G10" s="151"/>
      <c r="H10" s="152"/>
      <c r="I10" s="153" t="s">
        <v>197</v>
      </c>
      <c r="J10" s="154">
        <v>700000</v>
      </c>
      <c r="K10" s="155" t="s">
        <v>159</v>
      </c>
      <c r="L10" s="156" t="s">
        <v>133</v>
      </c>
      <c r="M10" s="155">
        <v>12</v>
      </c>
      <c r="N10" s="155" t="s">
        <v>141</v>
      </c>
      <c r="O10" s="155" t="s">
        <v>148</v>
      </c>
      <c r="P10" s="154">
        <f t="shared" ref="P10:P16" si="0">SUM(J10*M10)</f>
        <v>8400000</v>
      </c>
      <c r="Q10" s="157" t="s">
        <v>159</v>
      </c>
      <c r="S10" s="122"/>
    </row>
    <row r="11" spans="1:19" s="121" customFormat="1" ht="17.100000000000001" customHeight="1">
      <c r="A11" s="134"/>
      <c r="B11" s="146"/>
      <c r="C11" s="147"/>
      <c r="D11" s="148"/>
      <c r="E11" s="149"/>
      <c r="F11" s="158"/>
      <c r="G11" s="151"/>
      <c r="H11" s="152"/>
      <c r="I11" s="159" t="s">
        <v>418</v>
      </c>
      <c r="J11" s="154">
        <v>420000</v>
      </c>
      <c r="K11" s="155" t="s">
        <v>159</v>
      </c>
      <c r="L11" s="156" t="s">
        <v>133</v>
      </c>
      <c r="M11" s="155">
        <v>12</v>
      </c>
      <c r="N11" s="155" t="s">
        <v>141</v>
      </c>
      <c r="O11" s="155" t="s">
        <v>148</v>
      </c>
      <c r="P11" s="154">
        <f t="shared" si="0"/>
        <v>5040000</v>
      </c>
      <c r="Q11" s="157" t="s">
        <v>159</v>
      </c>
      <c r="S11" s="122"/>
    </row>
    <row r="12" spans="1:19" s="121" customFormat="1" ht="17.100000000000001" customHeight="1">
      <c r="A12" s="134"/>
      <c r="B12" s="146"/>
      <c r="C12" s="147"/>
      <c r="D12" s="148"/>
      <c r="E12" s="149"/>
      <c r="F12" s="150"/>
      <c r="G12" s="151"/>
      <c r="H12" s="152"/>
      <c r="I12" s="159" t="s">
        <v>34</v>
      </c>
      <c r="J12" s="154">
        <v>500000</v>
      </c>
      <c r="K12" s="155" t="s">
        <v>159</v>
      </c>
      <c r="L12" s="156" t="s">
        <v>133</v>
      </c>
      <c r="M12" s="155">
        <v>8</v>
      </c>
      <c r="N12" s="155" t="s">
        <v>141</v>
      </c>
      <c r="O12" s="155" t="s">
        <v>148</v>
      </c>
      <c r="P12" s="154">
        <f t="shared" si="0"/>
        <v>4000000</v>
      </c>
      <c r="Q12" s="157" t="s">
        <v>159</v>
      </c>
      <c r="S12" s="122"/>
    </row>
    <row r="13" spans="1:19" s="121" customFormat="1" ht="17.100000000000001" customHeight="1">
      <c r="A13" s="134"/>
      <c r="B13" s="146"/>
      <c r="C13" s="147"/>
      <c r="D13" s="148"/>
      <c r="E13" s="149"/>
      <c r="F13" s="150"/>
      <c r="G13" s="151"/>
      <c r="H13" s="152"/>
      <c r="I13" s="159" t="s">
        <v>66</v>
      </c>
      <c r="J13" s="154">
        <v>2100000</v>
      </c>
      <c r="K13" s="155" t="s">
        <v>159</v>
      </c>
      <c r="L13" s="156" t="s">
        <v>133</v>
      </c>
      <c r="M13" s="155">
        <v>12</v>
      </c>
      <c r="N13" s="155" t="s">
        <v>141</v>
      </c>
      <c r="O13" s="155" t="s">
        <v>148</v>
      </c>
      <c r="P13" s="154">
        <f t="shared" si="0"/>
        <v>25200000</v>
      </c>
      <c r="Q13" s="157" t="s">
        <v>159</v>
      </c>
      <c r="S13" s="122"/>
    </row>
    <row r="14" spans="1:19" s="121" customFormat="1" ht="17.100000000000001" customHeight="1">
      <c r="A14" s="134"/>
      <c r="B14" s="146"/>
      <c r="C14" s="147"/>
      <c r="D14" s="148"/>
      <c r="E14" s="149"/>
      <c r="F14" s="150"/>
      <c r="G14" s="151"/>
      <c r="H14" s="152"/>
      <c r="I14" s="159" t="s">
        <v>21</v>
      </c>
      <c r="J14" s="154">
        <v>1300000</v>
      </c>
      <c r="K14" s="155" t="s">
        <v>159</v>
      </c>
      <c r="L14" s="156" t="s">
        <v>133</v>
      </c>
      <c r="M14" s="155">
        <v>12</v>
      </c>
      <c r="N14" s="155" t="s">
        <v>141</v>
      </c>
      <c r="O14" s="155" t="s">
        <v>148</v>
      </c>
      <c r="P14" s="154">
        <f t="shared" si="0"/>
        <v>15600000</v>
      </c>
      <c r="Q14" s="157" t="s">
        <v>159</v>
      </c>
      <c r="S14" s="122"/>
    </row>
    <row r="15" spans="1:19" s="121" customFormat="1" ht="17.100000000000001" customHeight="1">
      <c r="A15" s="134"/>
      <c r="B15" s="146"/>
      <c r="C15" s="147"/>
      <c r="D15" s="148"/>
      <c r="E15" s="149"/>
      <c r="F15" s="150"/>
      <c r="G15" s="151"/>
      <c r="H15" s="152"/>
      <c r="I15" s="159" t="s">
        <v>80</v>
      </c>
      <c r="J15" s="154">
        <v>100000</v>
      </c>
      <c r="K15" s="155" t="s">
        <v>159</v>
      </c>
      <c r="L15" s="156" t="s">
        <v>133</v>
      </c>
      <c r="M15" s="155">
        <v>12</v>
      </c>
      <c r="N15" s="155" t="s">
        <v>141</v>
      </c>
      <c r="O15" s="155" t="s">
        <v>148</v>
      </c>
      <c r="P15" s="154">
        <f>SUM(J15*M15)</f>
        <v>1200000</v>
      </c>
      <c r="Q15" s="157" t="s">
        <v>159</v>
      </c>
      <c r="S15" s="122"/>
    </row>
    <row r="16" spans="1:19" s="121" customFormat="1" ht="17.100000000000001" customHeight="1">
      <c r="A16" s="134"/>
      <c r="B16" s="146"/>
      <c r="C16" s="160"/>
      <c r="D16" s="161"/>
      <c r="E16" s="162"/>
      <c r="F16" s="150"/>
      <c r="G16" s="163"/>
      <c r="H16" s="164"/>
      <c r="I16" s="159" t="s">
        <v>424</v>
      </c>
      <c r="J16" s="165">
        <v>750000</v>
      </c>
      <c r="K16" s="155" t="s">
        <v>159</v>
      </c>
      <c r="L16" s="156" t="s">
        <v>133</v>
      </c>
      <c r="M16" s="155">
        <v>2</v>
      </c>
      <c r="N16" s="155" t="s">
        <v>136</v>
      </c>
      <c r="O16" s="155" t="s">
        <v>148</v>
      </c>
      <c r="P16" s="154">
        <f t="shared" si="0"/>
        <v>1500000</v>
      </c>
      <c r="Q16" s="157" t="s">
        <v>159</v>
      </c>
      <c r="S16" s="122"/>
    </row>
    <row r="17" spans="1:19" s="121" customFormat="1" ht="17.100000000000001" customHeight="1">
      <c r="A17" s="134"/>
      <c r="B17" s="146"/>
      <c r="C17" s="136" t="s">
        <v>320</v>
      </c>
      <c r="D17" s="137">
        <v>37426</v>
      </c>
      <c r="E17" s="140">
        <f>(P17/1000)</f>
        <v>0</v>
      </c>
      <c r="F17" s="158"/>
      <c r="G17" s="166">
        <f>E17-D17</f>
        <v>-37426</v>
      </c>
      <c r="H17" s="167">
        <f>G17/D17*100</f>
        <v>-100</v>
      </c>
      <c r="I17" s="142"/>
      <c r="J17" s="143"/>
      <c r="K17" s="144"/>
      <c r="L17" s="168"/>
      <c r="M17" s="145" t="s">
        <v>173</v>
      </c>
      <c r="N17" s="145"/>
      <c r="O17" s="145"/>
      <c r="P17" s="169">
        <f>SUM(P18:P18)</f>
        <v>0</v>
      </c>
      <c r="Q17" s="133" t="s">
        <v>159</v>
      </c>
      <c r="S17" s="122"/>
    </row>
    <row r="18" spans="1:19" s="121" customFormat="1" ht="17.100000000000001" customHeight="1">
      <c r="A18" s="134"/>
      <c r="B18" s="146"/>
      <c r="C18" s="147"/>
      <c r="D18" s="148"/>
      <c r="E18" s="163"/>
      <c r="F18" s="158"/>
      <c r="G18" s="170"/>
      <c r="H18" s="171"/>
      <c r="I18" s="159" t="s">
        <v>29</v>
      </c>
      <c r="J18" s="122">
        <v>0</v>
      </c>
      <c r="K18" s="155" t="s">
        <v>159</v>
      </c>
      <c r="L18" s="156" t="s">
        <v>133</v>
      </c>
      <c r="M18" s="155">
        <v>1</v>
      </c>
      <c r="N18" s="155" t="s">
        <v>136</v>
      </c>
      <c r="O18" s="172" t="s">
        <v>150</v>
      </c>
      <c r="P18" s="154">
        <f>J18*M18</f>
        <v>0</v>
      </c>
      <c r="Q18" s="157" t="s">
        <v>159</v>
      </c>
      <c r="S18" s="122"/>
    </row>
    <row r="19" spans="1:19" s="121" customFormat="1" ht="17.100000000000001" customHeight="1">
      <c r="A19" s="134"/>
      <c r="B19" s="146"/>
      <c r="C19" s="173" t="s">
        <v>103</v>
      </c>
      <c r="D19" s="137">
        <v>25101</v>
      </c>
      <c r="E19" s="138">
        <f>+P19/1000</f>
        <v>25101</v>
      </c>
      <c r="F19" s="174">
        <v>71084</v>
      </c>
      <c r="G19" s="166">
        <f>+E19-D19</f>
        <v>0</v>
      </c>
      <c r="H19" s="167">
        <f>+G19/D19*100</f>
        <v>0</v>
      </c>
      <c r="I19" s="142"/>
      <c r="J19" s="143"/>
      <c r="K19" s="144"/>
      <c r="L19" s="144"/>
      <c r="M19" s="145" t="s">
        <v>173</v>
      </c>
      <c r="N19" s="145"/>
      <c r="O19" s="145"/>
      <c r="P19" s="143">
        <f>SUM(P20:P22)</f>
        <v>25101000</v>
      </c>
      <c r="Q19" s="133" t="s">
        <v>159</v>
      </c>
      <c r="S19" s="122"/>
    </row>
    <row r="20" spans="1:19" s="121" customFormat="1" ht="17.100000000000001" customHeight="1">
      <c r="A20" s="134"/>
      <c r="B20" s="146"/>
      <c r="C20" s="175"/>
      <c r="D20" s="148"/>
      <c r="E20" s="149"/>
      <c r="F20" s="176"/>
      <c r="G20" s="170"/>
      <c r="H20" s="171"/>
      <c r="I20" s="159" t="s">
        <v>410</v>
      </c>
      <c r="J20" s="154">
        <v>4700000</v>
      </c>
      <c r="K20" s="155" t="s">
        <v>159</v>
      </c>
      <c r="L20" s="156" t="s">
        <v>133</v>
      </c>
      <c r="M20" s="155">
        <v>1</v>
      </c>
      <c r="N20" s="155" t="s">
        <v>136</v>
      </c>
      <c r="O20" s="172" t="s">
        <v>148</v>
      </c>
      <c r="P20" s="154">
        <f>J20*M20</f>
        <v>4700000</v>
      </c>
      <c r="Q20" s="157" t="s">
        <v>159</v>
      </c>
      <c r="S20" s="122"/>
    </row>
    <row r="21" spans="1:19" s="121" customFormat="1" ht="17.100000000000001" customHeight="1">
      <c r="A21" s="134"/>
      <c r="B21" s="146"/>
      <c r="C21" s="175"/>
      <c r="D21" s="148"/>
      <c r="E21" s="149"/>
      <c r="F21" s="176"/>
      <c r="G21" s="170"/>
      <c r="H21" s="171"/>
      <c r="I21" s="153" t="s">
        <v>430</v>
      </c>
      <c r="J21" s="154">
        <v>1774200</v>
      </c>
      <c r="K21" s="155" t="s">
        <v>159</v>
      </c>
      <c r="L21" s="156" t="s">
        <v>133</v>
      </c>
      <c r="M21" s="155">
        <v>5</v>
      </c>
      <c r="N21" s="155" t="s">
        <v>136</v>
      </c>
      <c r="O21" s="172" t="s">
        <v>148</v>
      </c>
      <c r="P21" s="154">
        <f>J21*M21</f>
        <v>8871000</v>
      </c>
      <c r="Q21" s="157" t="s">
        <v>159</v>
      </c>
      <c r="S21" s="122"/>
    </row>
    <row r="22" spans="1:19" s="121" customFormat="1" ht="17.100000000000001" customHeight="1">
      <c r="A22" s="134"/>
      <c r="B22" s="146"/>
      <c r="C22" s="175"/>
      <c r="D22" s="148"/>
      <c r="E22" s="149"/>
      <c r="F22" s="176"/>
      <c r="G22" s="170"/>
      <c r="H22" s="171"/>
      <c r="I22" s="159" t="s">
        <v>408</v>
      </c>
      <c r="J22" s="154">
        <v>2882500</v>
      </c>
      <c r="K22" s="155" t="s">
        <v>159</v>
      </c>
      <c r="L22" s="156" t="s">
        <v>133</v>
      </c>
      <c r="M22" s="155">
        <v>4</v>
      </c>
      <c r="N22" s="155" t="s">
        <v>136</v>
      </c>
      <c r="O22" s="172" t="s">
        <v>148</v>
      </c>
      <c r="P22" s="154">
        <f>J22*M22</f>
        <v>11530000</v>
      </c>
      <c r="Q22" s="157" t="s">
        <v>159</v>
      </c>
      <c r="S22" s="122"/>
    </row>
    <row r="23" spans="1:19" s="121" customFormat="1" ht="17.100000000000001" customHeight="1">
      <c r="A23" s="134"/>
      <c r="B23" s="146"/>
      <c r="C23" s="136" t="s">
        <v>258</v>
      </c>
      <c r="D23" s="137">
        <v>210</v>
      </c>
      <c r="E23" s="140">
        <f>(P23/1000)</f>
        <v>210</v>
      </c>
      <c r="F23" s="158"/>
      <c r="G23" s="166">
        <f>E23-D23</f>
        <v>0</v>
      </c>
      <c r="H23" s="167">
        <v>0</v>
      </c>
      <c r="I23" s="142"/>
      <c r="J23" s="143"/>
      <c r="K23" s="144"/>
      <c r="L23" s="168"/>
      <c r="M23" s="145" t="s">
        <v>173</v>
      </c>
      <c r="N23" s="145"/>
      <c r="O23" s="145"/>
      <c r="P23" s="169">
        <f>SUM(P24:P24)</f>
        <v>210000</v>
      </c>
      <c r="Q23" s="133" t="s">
        <v>159</v>
      </c>
      <c r="S23" s="122"/>
    </row>
    <row r="24" spans="1:19" s="121" customFormat="1" ht="17.100000000000001" customHeight="1">
      <c r="A24" s="134"/>
      <c r="B24" s="146"/>
      <c r="C24" s="147"/>
      <c r="D24" s="148"/>
      <c r="E24" s="163"/>
      <c r="F24" s="158"/>
      <c r="G24" s="170"/>
      <c r="H24" s="171"/>
      <c r="I24" s="159" t="s">
        <v>439</v>
      </c>
      <c r="J24" s="122">
        <v>210000</v>
      </c>
      <c r="K24" s="155" t="s">
        <v>159</v>
      </c>
      <c r="L24" s="156" t="s">
        <v>133</v>
      </c>
      <c r="M24" s="155">
        <v>1</v>
      </c>
      <c r="N24" s="155" t="s">
        <v>136</v>
      </c>
      <c r="O24" s="172" t="s">
        <v>150</v>
      </c>
      <c r="P24" s="154">
        <f>J24*M24</f>
        <v>210000</v>
      </c>
      <c r="Q24" s="157" t="s">
        <v>159</v>
      </c>
      <c r="S24" s="122"/>
    </row>
    <row r="25" spans="1:19" s="121" customFormat="1" ht="18.95" customHeight="1">
      <c r="A25" s="177" t="s">
        <v>331</v>
      </c>
      <c r="B25" s="178" t="s">
        <v>179</v>
      </c>
      <c r="C25" s="179"/>
      <c r="D25" s="180">
        <f>SUM(D26)</f>
        <v>960</v>
      </c>
      <c r="E25" s="181">
        <f>SUM(E26)</f>
        <v>2800</v>
      </c>
      <c r="F25" s="182">
        <f>SUM(F26)</f>
        <v>12766566</v>
      </c>
      <c r="G25" s="183">
        <f>+E25-D25</f>
        <v>1840</v>
      </c>
      <c r="H25" s="184">
        <f>+G25/D25*100</f>
        <v>191.66666666666669</v>
      </c>
      <c r="I25" s="185"/>
      <c r="J25" s="185"/>
      <c r="K25" s="186"/>
      <c r="L25" s="186"/>
      <c r="M25" s="185"/>
      <c r="N25" s="185"/>
      <c r="O25" s="185"/>
      <c r="P25" s="187">
        <f>P26</f>
        <v>2800000</v>
      </c>
      <c r="Q25" s="188" t="s">
        <v>159</v>
      </c>
      <c r="S25" s="122"/>
    </row>
    <row r="26" spans="1:19" s="121" customFormat="1" ht="17.100000000000001" customHeight="1">
      <c r="A26" s="134"/>
      <c r="B26" s="135" t="s">
        <v>331</v>
      </c>
      <c r="C26" s="189" t="s">
        <v>180</v>
      </c>
      <c r="D26" s="190">
        <f>SUM(D27)</f>
        <v>960</v>
      </c>
      <c r="E26" s="191">
        <f>SUM(E27)</f>
        <v>2800</v>
      </c>
      <c r="F26" s="192">
        <f>SUM(F27:F93)</f>
        <v>12766566</v>
      </c>
      <c r="G26" s="193">
        <f>+E26-D26</f>
        <v>1840</v>
      </c>
      <c r="H26" s="129">
        <f>+G26/D26*100</f>
        <v>191.66666666666669</v>
      </c>
      <c r="K26" s="155"/>
      <c r="L26" s="155"/>
      <c r="P26" s="194">
        <f>P27</f>
        <v>2800000</v>
      </c>
      <c r="Q26" s="157" t="s">
        <v>159</v>
      </c>
      <c r="S26" s="122"/>
    </row>
    <row r="27" spans="1:19" s="121" customFormat="1" ht="17.100000000000001" customHeight="1">
      <c r="A27" s="134"/>
      <c r="B27" s="146"/>
      <c r="C27" s="195" t="s">
        <v>246</v>
      </c>
      <c r="D27" s="137">
        <v>960</v>
      </c>
      <c r="E27" s="137">
        <f>P26/1000</f>
        <v>2800</v>
      </c>
      <c r="F27" s="174">
        <v>10450</v>
      </c>
      <c r="G27" s="166">
        <f>+E27-D27</f>
        <v>1840</v>
      </c>
      <c r="H27" s="167">
        <f>+G27/D27*100</f>
        <v>191.66666666666669</v>
      </c>
      <c r="I27" s="196"/>
      <c r="J27" s="197"/>
      <c r="K27" s="144"/>
      <c r="L27" s="144"/>
      <c r="M27" s="198" t="s">
        <v>173</v>
      </c>
      <c r="N27" s="198"/>
      <c r="O27" s="198"/>
      <c r="P27" s="132">
        <f>SUM(P28:P30)</f>
        <v>2800000</v>
      </c>
      <c r="Q27" s="133" t="s">
        <v>159</v>
      </c>
      <c r="S27" s="122"/>
    </row>
    <row r="28" spans="1:19" s="121" customFormat="1" ht="17.100000000000001" customHeight="1">
      <c r="A28" s="109"/>
      <c r="B28" s="146"/>
      <c r="C28" s="199"/>
      <c r="D28" s="148"/>
      <c r="E28" s="148"/>
      <c r="F28" s="176"/>
      <c r="G28" s="170"/>
      <c r="H28" s="171"/>
      <c r="I28" s="200" t="s">
        <v>61</v>
      </c>
      <c r="J28" s="201">
        <v>30000</v>
      </c>
      <c r="K28" s="202" t="s">
        <v>159</v>
      </c>
      <c r="L28" s="203" t="s">
        <v>133</v>
      </c>
      <c r="M28" s="204">
        <v>40</v>
      </c>
      <c r="N28" s="202" t="s">
        <v>157</v>
      </c>
      <c r="O28" s="205" t="s">
        <v>148</v>
      </c>
      <c r="P28" s="201">
        <f>J28*M28</f>
        <v>1200000</v>
      </c>
      <c r="Q28" s="206" t="s">
        <v>159</v>
      </c>
      <c r="S28" s="122"/>
    </row>
    <row r="29" spans="1:19" s="121" customFormat="1" ht="17.100000000000001" customHeight="1">
      <c r="A29" s="134"/>
      <c r="B29" s="146"/>
      <c r="C29" s="199"/>
      <c r="D29" s="148"/>
      <c r="E29" s="148"/>
      <c r="F29" s="176"/>
      <c r="G29" s="170"/>
      <c r="H29" s="171"/>
      <c r="I29" s="200" t="s">
        <v>355</v>
      </c>
      <c r="J29" s="201">
        <v>40000</v>
      </c>
      <c r="K29" s="202" t="s">
        <v>159</v>
      </c>
      <c r="L29" s="203" t="s">
        <v>133</v>
      </c>
      <c r="M29" s="204">
        <v>30</v>
      </c>
      <c r="N29" s="202" t="s">
        <v>157</v>
      </c>
      <c r="O29" s="205" t="s">
        <v>148</v>
      </c>
      <c r="P29" s="201">
        <f>J29*M29</f>
        <v>1200000</v>
      </c>
      <c r="Q29" s="206" t="s">
        <v>159</v>
      </c>
      <c r="S29" s="122"/>
    </row>
    <row r="30" spans="1:19" s="121" customFormat="1" ht="17.100000000000001" customHeight="1">
      <c r="A30" s="207"/>
      <c r="B30" s="208"/>
      <c r="C30" s="209"/>
      <c r="D30" s="161"/>
      <c r="E30" s="161"/>
      <c r="F30" s="210"/>
      <c r="G30" s="211"/>
      <c r="H30" s="212"/>
      <c r="I30" s="213" t="s">
        <v>446</v>
      </c>
      <c r="J30" s="214">
        <v>10000</v>
      </c>
      <c r="K30" s="215" t="s">
        <v>159</v>
      </c>
      <c r="L30" s="216" t="s">
        <v>133</v>
      </c>
      <c r="M30" s="215">
        <v>40</v>
      </c>
      <c r="N30" s="215" t="s">
        <v>157</v>
      </c>
      <c r="O30" s="217" t="s">
        <v>148</v>
      </c>
      <c r="P30" s="214">
        <f>J30*M30</f>
        <v>400000</v>
      </c>
      <c r="Q30" s="218" t="s">
        <v>159</v>
      </c>
      <c r="S30" s="122"/>
    </row>
    <row r="31" spans="1:19" s="121" customFormat="1" ht="18.95" hidden="1" customHeight="1">
      <c r="A31" s="177" t="s">
        <v>245</v>
      </c>
      <c r="B31" s="178" t="s">
        <v>179</v>
      </c>
      <c r="C31" s="179"/>
      <c r="D31" s="180">
        <f t="shared" ref="D31:F32" si="1">SUM(D32)</f>
        <v>0</v>
      </c>
      <c r="E31" s="219">
        <f t="shared" si="1"/>
        <v>0</v>
      </c>
      <c r="F31" s="220">
        <f t="shared" si="1"/>
        <v>56700</v>
      </c>
      <c r="G31" s="221">
        <f>+E31-D31</f>
        <v>0</v>
      </c>
      <c r="H31" s="184" t="e">
        <f>+G31/D31*100</f>
        <v>#DIV/0!</v>
      </c>
      <c r="I31" s="222"/>
      <c r="J31" s="222"/>
      <c r="K31" s="223"/>
      <c r="L31" s="223"/>
      <c r="M31" s="222"/>
      <c r="N31" s="222"/>
      <c r="O31" s="222"/>
      <c r="P31" s="187">
        <f>P32</f>
        <v>0</v>
      </c>
      <c r="Q31" s="188" t="s">
        <v>159</v>
      </c>
      <c r="S31" s="122"/>
    </row>
    <row r="32" spans="1:19" s="121" customFormat="1" ht="17.100000000000001" hidden="1" customHeight="1">
      <c r="A32" s="134"/>
      <c r="B32" s="135" t="s">
        <v>245</v>
      </c>
      <c r="C32" s="224" t="s">
        <v>180</v>
      </c>
      <c r="D32" s="225">
        <f>D33</f>
        <v>0</v>
      </c>
      <c r="E32" s="226">
        <f t="shared" si="1"/>
        <v>0</v>
      </c>
      <c r="F32" s="227">
        <f t="shared" si="1"/>
        <v>56700</v>
      </c>
      <c r="G32" s="228">
        <f>+E32-D32</f>
        <v>0</v>
      </c>
      <c r="H32" s="129" t="e">
        <f>+G32/D32*100</f>
        <v>#DIV/0!</v>
      </c>
      <c r="I32" s="229"/>
      <c r="J32" s="185"/>
      <c r="K32" s="186"/>
      <c r="L32" s="186"/>
      <c r="M32" s="185"/>
      <c r="N32" s="185"/>
      <c r="O32" s="185"/>
      <c r="P32" s="230">
        <f>SUM(P33)</f>
        <v>0</v>
      </c>
      <c r="Q32" s="231" t="s">
        <v>159</v>
      </c>
      <c r="S32" s="122"/>
    </row>
    <row r="33" spans="1:21" s="121" customFormat="1" ht="17.100000000000001" hidden="1" customHeight="1">
      <c r="A33" s="134"/>
      <c r="B33" s="189"/>
      <c r="C33" s="136" t="s">
        <v>262</v>
      </c>
      <c r="D33" s="137">
        <v>0</v>
      </c>
      <c r="E33" s="232">
        <f>+P33/1000</f>
        <v>0</v>
      </c>
      <c r="F33" s="233">
        <v>56700</v>
      </c>
      <c r="G33" s="234">
        <f>+E33-D33</f>
        <v>0</v>
      </c>
      <c r="H33" s="235" t="e">
        <f>+G33/D33*100</f>
        <v>#DIV/0!</v>
      </c>
      <c r="I33" s="236"/>
      <c r="K33" s="155"/>
      <c r="L33" s="155"/>
      <c r="M33" s="121" t="s">
        <v>173</v>
      </c>
      <c r="P33" s="194">
        <f>SUM(P34:P34)</f>
        <v>0</v>
      </c>
      <c r="Q33" s="157" t="s">
        <v>159</v>
      </c>
      <c r="S33" s="122"/>
    </row>
    <row r="34" spans="1:21" s="121" customFormat="1" ht="17.100000000000001" hidden="1" customHeight="1">
      <c r="A34" s="134"/>
      <c r="B34" s="189"/>
      <c r="C34" s="147"/>
      <c r="D34" s="148"/>
      <c r="E34" s="237"/>
      <c r="F34" s="238"/>
      <c r="G34" s="234"/>
      <c r="H34" s="239"/>
      <c r="I34" s="159" t="s">
        <v>45</v>
      </c>
      <c r="J34" s="122">
        <v>0</v>
      </c>
      <c r="K34" s="155" t="s">
        <v>159</v>
      </c>
      <c r="L34" s="156" t="s">
        <v>133</v>
      </c>
      <c r="M34" s="155">
        <v>1</v>
      </c>
      <c r="N34" s="155" t="s">
        <v>136</v>
      </c>
      <c r="O34" s="155" t="s">
        <v>148</v>
      </c>
      <c r="P34" s="122">
        <f>+M34*J34</f>
        <v>0</v>
      </c>
      <c r="Q34" s="157" t="s">
        <v>159</v>
      </c>
      <c r="S34" s="122"/>
    </row>
    <row r="35" spans="1:21" s="121" customFormat="1" ht="18.95" customHeight="1">
      <c r="A35" s="240" t="s">
        <v>138</v>
      </c>
      <c r="B35" s="179" t="s">
        <v>179</v>
      </c>
      <c r="C35" s="241"/>
      <c r="D35" s="180">
        <f>+D36+D53</f>
        <v>1622329</v>
      </c>
      <c r="E35" s="181">
        <f>+E36+E53</f>
        <v>1722600</v>
      </c>
      <c r="F35" s="182">
        <f>+F36+F53</f>
        <v>1336159</v>
      </c>
      <c r="G35" s="183">
        <f>E35-D35</f>
        <v>100271</v>
      </c>
      <c r="H35" s="184">
        <f>+G35/D35*100</f>
        <v>6.1806822167390214</v>
      </c>
      <c r="I35" s="185"/>
      <c r="J35" s="185"/>
      <c r="K35" s="185"/>
      <c r="L35" s="186"/>
      <c r="M35" s="185"/>
      <c r="N35" s="185"/>
      <c r="O35" s="185"/>
      <c r="P35" s="187">
        <f>SUM(P36,P53)</f>
        <v>1722600000</v>
      </c>
      <c r="Q35" s="188" t="s">
        <v>159</v>
      </c>
      <c r="S35" s="122"/>
    </row>
    <row r="36" spans="1:21" s="121" customFormat="1" ht="17.100000000000001" customHeight="1">
      <c r="A36" s="134"/>
      <c r="B36" s="242" t="s">
        <v>144</v>
      </c>
      <c r="C36" s="189" t="s">
        <v>180</v>
      </c>
      <c r="D36" s="190">
        <f>SUM(D37:D49)</f>
        <v>1090618</v>
      </c>
      <c r="E36" s="243">
        <f>SUM(E37:E52)</f>
        <v>1252920</v>
      </c>
      <c r="F36" s="244">
        <f>SUM(F37:F49)</f>
        <v>711605</v>
      </c>
      <c r="G36" s="128">
        <f>E36-D36</f>
        <v>162302</v>
      </c>
      <c r="H36" s="129">
        <f>+G36/D36*100</f>
        <v>14.881654254743641</v>
      </c>
      <c r="L36" s="155"/>
      <c r="P36" s="194">
        <f>SUM(P37,P39,P44,P48)</f>
        <v>1252920000</v>
      </c>
      <c r="Q36" s="157" t="s">
        <v>159</v>
      </c>
      <c r="S36" s="122"/>
    </row>
    <row r="37" spans="1:21" s="121" customFormat="1" ht="17.100000000000001" customHeight="1">
      <c r="A37" s="134"/>
      <c r="B37" s="242" t="s">
        <v>138</v>
      </c>
      <c r="C37" s="173" t="s">
        <v>69</v>
      </c>
      <c r="D37" s="137">
        <v>356850</v>
      </c>
      <c r="E37" s="138">
        <f>P37/1000</f>
        <v>147160</v>
      </c>
      <c r="F37" s="174">
        <v>480000</v>
      </c>
      <c r="G37" s="166">
        <f>+E37-D37</f>
        <v>-209690</v>
      </c>
      <c r="H37" s="167">
        <f>+G37/D37*100</f>
        <v>-58.76138433515483</v>
      </c>
      <c r="I37" s="142"/>
      <c r="J37" s="143"/>
      <c r="K37" s="245"/>
      <c r="L37" s="144"/>
      <c r="M37" s="144" t="s">
        <v>173</v>
      </c>
      <c r="N37" s="144"/>
      <c r="O37" s="144"/>
      <c r="P37" s="143">
        <f>SUM(P38:P38)</f>
        <v>147160000</v>
      </c>
      <c r="Q37" s="133" t="s">
        <v>159</v>
      </c>
      <c r="S37" s="122"/>
    </row>
    <row r="38" spans="1:21" s="121" customFormat="1" ht="17.100000000000001" customHeight="1">
      <c r="A38" s="134"/>
      <c r="B38" s="146"/>
      <c r="C38" s="147"/>
      <c r="D38" s="148"/>
      <c r="E38" s="149"/>
      <c r="F38" s="210"/>
      <c r="G38" s="170"/>
      <c r="H38" s="171"/>
      <c r="I38" s="159" t="s">
        <v>221</v>
      </c>
      <c r="J38" s="246">
        <v>73580000</v>
      </c>
      <c r="K38" s="155" t="s">
        <v>159</v>
      </c>
      <c r="L38" s="156" t="s">
        <v>133</v>
      </c>
      <c r="M38" s="155">
        <v>2</v>
      </c>
      <c r="N38" s="155" t="s">
        <v>136</v>
      </c>
      <c r="O38" s="172" t="s">
        <v>148</v>
      </c>
      <c r="P38" s="154">
        <f>SUM(J38*M38)</f>
        <v>147160000</v>
      </c>
      <c r="Q38" s="157" t="s">
        <v>159</v>
      </c>
      <c r="S38" s="122"/>
    </row>
    <row r="39" spans="1:21" s="121" customFormat="1" ht="17.100000000000001" customHeight="1">
      <c r="A39" s="134"/>
      <c r="B39" s="146"/>
      <c r="C39" s="173" t="s">
        <v>58</v>
      </c>
      <c r="D39" s="137">
        <v>52392</v>
      </c>
      <c r="E39" s="138">
        <f>P39/1000</f>
        <v>52392</v>
      </c>
      <c r="F39" s="174">
        <v>79390</v>
      </c>
      <c r="G39" s="166">
        <f>+E39-D39</f>
        <v>0</v>
      </c>
      <c r="H39" s="167">
        <f>+G39/D39*100</f>
        <v>0</v>
      </c>
      <c r="I39" s="247"/>
      <c r="J39" s="143"/>
      <c r="K39" s="144"/>
      <c r="L39" s="144"/>
      <c r="M39" s="145" t="s">
        <v>173</v>
      </c>
      <c r="N39" s="145"/>
      <c r="O39" s="145"/>
      <c r="P39" s="143">
        <f>SUM(P40:P43)</f>
        <v>52392000</v>
      </c>
      <c r="Q39" s="133" t="s">
        <v>159</v>
      </c>
      <c r="S39" s="122"/>
    </row>
    <row r="40" spans="1:21" s="121" customFormat="1" ht="17.100000000000001" customHeight="1">
      <c r="A40" s="134"/>
      <c r="B40" s="146"/>
      <c r="C40" s="147"/>
      <c r="D40" s="148"/>
      <c r="E40" s="149"/>
      <c r="F40" s="176"/>
      <c r="G40" s="170"/>
      <c r="H40" s="171"/>
      <c r="I40" s="248" t="s">
        <v>4</v>
      </c>
      <c r="J40" s="249">
        <v>3000000</v>
      </c>
      <c r="K40" s="250" t="s">
        <v>159</v>
      </c>
      <c r="L40" s="251" t="s">
        <v>133</v>
      </c>
      <c r="M40" s="250">
        <v>12</v>
      </c>
      <c r="N40" s="250" t="s">
        <v>141</v>
      </c>
      <c r="O40" s="252" t="s">
        <v>148</v>
      </c>
      <c r="P40" s="249">
        <f>SUM(J40*M40)</f>
        <v>36000000</v>
      </c>
      <c r="Q40" s="253" t="s">
        <v>159</v>
      </c>
      <c r="R40" s="122"/>
      <c r="S40" s="154"/>
      <c r="T40" s="154"/>
    </row>
    <row r="41" spans="1:21" s="121" customFormat="1" ht="17.100000000000001" customHeight="1">
      <c r="A41" s="134"/>
      <c r="B41" s="146"/>
      <c r="C41" s="147"/>
      <c r="D41" s="148"/>
      <c r="E41" s="149"/>
      <c r="F41" s="244"/>
      <c r="G41" s="170"/>
      <c r="H41" s="171"/>
      <c r="I41" s="153" t="s">
        <v>403</v>
      </c>
      <c r="J41" s="154">
        <v>746000</v>
      </c>
      <c r="K41" s="155" t="s">
        <v>159</v>
      </c>
      <c r="L41" s="156" t="s">
        <v>133</v>
      </c>
      <c r="M41" s="155">
        <v>12</v>
      </c>
      <c r="N41" s="155" t="s">
        <v>141</v>
      </c>
      <c r="O41" s="172" t="s">
        <v>148</v>
      </c>
      <c r="P41" s="154">
        <f>SUM(J41*M41)</f>
        <v>8952000</v>
      </c>
      <c r="Q41" s="157" t="s">
        <v>159</v>
      </c>
      <c r="R41" s="122"/>
      <c r="S41" s="154"/>
      <c r="T41" s="154"/>
    </row>
    <row r="42" spans="1:21" s="121" customFormat="1" ht="17.100000000000001" customHeight="1">
      <c r="A42" s="134"/>
      <c r="B42" s="146"/>
      <c r="C42" s="147"/>
      <c r="D42" s="148"/>
      <c r="E42" s="149"/>
      <c r="F42" s="244"/>
      <c r="G42" s="170"/>
      <c r="H42" s="171"/>
      <c r="I42" s="159" t="s">
        <v>435</v>
      </c>
      <c r="J42" s="154">
        <v>600000</v>
      </c>
      <c r="K42" s="155" t="s">
        <v>159</v>
      </c>
      <c r="L42" s="156" t="s">
        <v>133</v>
      </c>
      <c r="M42" s="155">
        <v>12</v>
      </c>
      <c r="N42" s="155" t="s">
        <v>141</v>
      </c>
      <c r="O42" s="172" t="s">
        <v>148</v>
      </c>
      <c r="P42" s="154">
        <f>SUM(J42*M42)</f>
        <v>7200000</v>
      </c>
      <c r="Q42" s="157" t="s">
        <v>159</v>
      </c>
      <c r="R42" s="122"/>
      <c r="S42" s="154"/>
      <c r="T42" s="154"/>
    </row>
    <row r="43" spans="1:21" s="121" customFormat="1" ht="17.100000000000001" customHeight="1">
      <c r="A43" s="134"/>
      <c r="B43" s="146"/>
      <c r="C43" s="160"/>
      <c r="D43" s="161"/>
      <c r="E43" s="162"/>
      <c r="F43" s="254"/>
      <c r="G43" s="211"/>
      <c r="H43" s="212"/>
      <c r="I43" s="255" t="s">
        <v>405</v>
      </c>
      <c r="J43" s="256">
        <v>20000</v>
      </c>
      <c r="K43" s="257" t="s">
        <v>159</v>
      </c>
      <c r="L43" s="258" t="s">
        <v>133</v>
      </c>
      <c r="M43" s="257">
        <v>12</v>
      </c>
      <c r="N43" s="257" t="s">
        <v>136</v>
      </c>
      <c r="O43" s="259" t="s">
        <v>148</v>
      </c>
      <c r="P43" s="256">
        <f>SUM(J43*M43)</f>
        <v>240000</v>
      </c>
      <c r="Q43" s="260" t="s">
        <v>159</v>
      </c>
      <c r="R43" s="122"/>
      <c r="S43" s="154"/>
    </row>
    <row r="44" spans="1:21" s="121" customFormat="1" ht="17.100000000000001" customHeight="1">
      <c r="A44" s="134"/>
      <c r="B44" s="146"/>
      <c r="C44" s="195" t="s">
        <v>205</v>
      </c>
      <c r="D44" s="137">
        <v>418008</v>
      </c>
      <c r="E44" s="137">
        <f>+P44/1000</f>
        <v>170000</v>
      </c>
      <c r="F44" s="174">
        <v>90435</v>
      </c>
      <c r="G44" s="166">
        <f>+E44-D44</f>
        <v>-248008</v>
      </c>
      <c r="H44" s="167">
        <f>+G44/D44*100</f>
        <v>-59.330921896231651</v>
      </c>
      <c r="I44" s="142"/>
      <c r="J44" s="169"/>
      <c r="K44" s="144"/>
      <c r="L44" s="144"/>
      <c r="M44" s="145" t="s">
        <v>173</v>
      </c>
      <c r="N44" s="145"/>
      <c r="O44" s="145"/>
      <c r="P44" s="169">
        <f>SUM(P45:P47)</f>
        <v>170000000</v>
      </c>
      <c r="Q44" s="133" t="s">
        <v>159</v>
      </c>
      <c r="S44" s="154"/>
    </row>
    <row r="45" spans="1:21" s="121" customFormat="1" ht="17.100000000000001" customHeight="1">
      <c r="A45" s="134"/>
      <c r="B45" s="146"/>
      <c r="C45" s="199"/>
      <c r="D45" s="148"/>
      <c r="E45" s="148"/>
      <c r="F45" s="176"/>
      <c r="G45" s="170"/>
      <c r="H45" s="171"/>
      <c r="I45" s="159" t="s">
        <v>107</v>
      </c>
      <c r="J45" s="154">
        <v>12500000</v>
      </c>
      <c r="K45" s="155" t="s">
        <v>159</v>
      </c>
      <c r="L45" s="156" t="s">
        <v>133</v>
      </c>
      <c r="M45" s="155">
        <v>12</v>
      </c>
      <c r="N45" s="155" t="s">
        <v>141</v>
      </c>
      <c r="O45" s="172" t="s">
        <v>148</v>
      </c>
      <c r="P45" s="154">
        <f>SUM(J45*M45)</f>
        <v>150000000</v>
      </c>
      <c r="Q45" s="157" t="s">
        <v>159</v>
      </c>
      <c r="R45" s="154"/>
      <c r="S45" s="154"/>
    </row>
    <row r="46" spans="1:21" s="121" customFormat="1" ht="17.100000000000001" customHeight="1">
      <c r="A46" s="134"/>
      <c r="B46" s="146"/>
      <c r="C46" s="199"/>
      <c r="D46" s="148"/>
      <c r="E46" s="148"/>
      <c r="F46" s="244"/>
      <c r="G46" s="170"/>
      <c r="H46" s="171"/>
      <c r="I46" s="159" t="s">
        <v>440</v>
      </c>
      <c r="J46" s="154">
        <v>10000000</v>
      </c>
      <c r="K46" s="155" t="s">
        <v>159</v>
      </c>
      <c r="L46" s="156" t="s">
        <v>133</v>
      </c>
      <c r="M46" s="155">
        <v>2</v>
      </c>
      <c r="N46" s="155" t="s">
        <v>136</v>
      </c>
      <c r="O46" s="172" t="s">
        <v>150</v>
      </c>
      <c r="P46" s="154">
        <f>SUM(J46*M46)</f>
        <v>20000000</v>
      </c>
      <c r="Q46" s="157" t="s">
        <v>159</v>
      </c>
      <c r="R46" s="261"/>
      <c r="S46" s="262"/>
      <c r="T46" s="262"/>
      <c r="U46" s="262"/>
    </row>
    <row r="47" spans="1:21" s="121" customFormat="1" ht="17.100000000000001" customHeight="1">
      <c r="A47" s="134"/>
      <c r="B47" s="146"/>
      <c r="C47" s="209"/>
      <c r="D47" s="161"/>
      <c r="E47" s="161"/>
      <c r="F47" s="244"/>
      <c r="G47" s="211"/>
      <c r="H47" s="212"/>
      <c r="I47" s="159" t="s">
        <v>441</v>
      </c>
      <c r="J47" s="154"/>
      <c r="K47" s="155" t="s">
        <v>159</v>
      </c>
      <c r="L47" s="156" t="s">
        <v>133</v>
      </c>
      <c r="M47" s="155"/>
      <c r="N47" s="155" t="s">
        <v>136</v>
      </c>
      <c r="O47" s="172" t="s">
        <v>150</v>
      </c>
      <c r="P47" s="154">
        <f>SUM(J47*M47)</f>
        <v>0</v>
      </c>
      <c r="Q47" s="157" t="s">
        <v>159</v>
      </c>
      <c r="R47" s="263"/>
      <c r="S47" s="263"/>
      <c r="T47" s="263"/>
      <c r="U47" s="263"/>
    </row>
    <row r="48" spans="1:21" s="121" customFormat="1" ht="17.100000000000001" customHeight="1">
      <c r="A48" s="109"/>
      <c r="B48" s="242"/>
      <c r="C48" s="136" t="s">
        <v>341</v>
      </c>
      <c r="D48" s="137">
        <v>263368</v>
      </c>
      <c r="E48" s="232">
        <f>(P48/1000)</f>
        <v>883368</v>
      </c>
      <c r="F48" s="264">
        <v>61780</v>
      </c>
      <c r="G48" s="166">
        <f>+E48-D48</f>
        <v>620000</v>
      </c>
      <c r="H48" s="167">
        <f>G48/D48*100</f>
        <v>235.41204702165791</v>
      </c>
      <c r="I48" s="247"/>
      <c r="J48" s="143"/>
      <c r="K48" s="144"/>
      <c r="L48" s="144"/>
      <c r="M48" s="145" t="s">
        <v>173</v>
      </c>
      <c r="N48" s="145"/>
      <c r="O48" s="145"/>
      <c r="P48" s="143">
        <f>SUM(P49:P52)</f>
        <v>883368000</v>
      </c>
      <c r="Q48" s="133" t="s">
        <v>159</v>
      </c>
      <c r="S48" s="122"/>
    </row>
    <row r="49" spans="1:23" s="121" customFormat="1" ht="17.100000000000001" customHeight="1">
      <c r="A49" s="109"/>
      <c r="B49" s="242"/>
      <c r="C49" s="147"/>
      <c r="D49" s="148"/>
      <c r="E49" s="237"/>
      <c r="F49" s="244"/>
      <c r="G49" s="170"/>
      <c r="H49" s="171"/>
      <c r="I49" s="159" t="s">
        <v>54</v>
      </c>
      <c r="J49" s="154">
        <v>100000000</v>
      </c>
      <c r="K49" s="155" t="s">
        <v>159</v>
      </c>
      <c r="L49" s="156" t="s">
        <v>133</v>
      </c>
      <c r="M49" s="155">
        <v>1</v>
      </c>
      <c r="N49" s="155" t="s">
        <v>136</v>
      </c>
      <c r="O49" s="172" t="s">
        <v>148</v>
      </c>
      <c r="P49" s="154">
        <f>SUM(J49*M49)</f>
        <v>100000000</v>
      </c>
      <c r="Q49" s="157" t="s">
        <v>159</v>
      </c>
      <c r="S49" s="154"/>
    </row>
    <row r="50" spans="1:23" s="121" customFormat="1" ht="17.100000000000001" customHeight="1">
      <c r="A50" s="109"/>
      <c r="B50" s="242"/>
      <c r="C50" s="147"/>
      <c r="D50" s="148"/>
      <c r="E50" s="237"/>
      <c r="F50" s="244"/>
      <c r="G50" s="170"/>
      <c r="H50" s="171"/>
      <c r="I50" s="159" t="s">
        <v>125</v>
      </c>
      <c r="J50" s="154">
        <v>60000000</v>
      </c>
      <c r="K50" s="155" t="s">
        <v>159</v>
      </c>
      <c r="L50" s="156" t="s">
        <v>133</v>
      </c>
      <c r="M50" s="155">
        <v>12</v>
      </c>
      <c r="N50" s="155" t="s">
        <v>136</v>
      </c>
      <c r="O50" s="172" t="s">
        <v>148</v>
      </c>
      <c r="P50" s="154">
        <f>SUM(J50*M50)</f>
        <v>720000000</v>
      </c>
      <c r="Q50" s="157" t="s">
        <v>159</v>
      </c>
      <c r="S50" s="154"/>
    </row>
    <row r="51" spans="1:23" s="121" customFormat="1" ht="17.100000000000001" customHeight="1">
      <c r="A51" s="134"/>
      <c r="B51" s="146"/>
      <c r="C51" s="147"/>
      <c r="D51" s="148"/>
      <c r="E51" s="237"/>
      <c r="F51" s="244"/>
      <c r="G51" s="170"/>
      <c r="H51" s="171"/>
      <c r="I51" s="153" t="s">
        <v>20</v>
      </c>
      <c r="J51" s="154">
        <v>15000000</v>
      </c>
      <c r="K51" s="155" t="s">
        <v>159</v>
      </c>
      <c r="L51" s="156" t="s">
        <v>133</v>
      </c>
      <c r="M51" s="155">
        <v>2</v>
      </c>
      <c r="N51" s="155" t="s">
        <v>136</v>
      </c>
      <c r="O51" s="172" t="s">
        <v>148</v>
      </c>
      <c r="P51" s="154">
        <f>SUM(J51*M51)</f>
        <v>30000000</v>
      </c>
      <c r="Q51" s="157" t="s">
        <v>159</v>
      </c>
      <c r="R51" s="121" t="s">
        <v>127</v>
      </c>
      <c r="S51" s="154"/>
    </row>
    <row r="52" spans="1:23" s="121" customFormat="1" ht="17.100000000000001" customHeight="1">
      <c r="A52" s="134"/>
      <c r="B52" s="265"/>
      <c r="C52" s="266"/>
      <c r="D52" s="267"/>
      <c r="E52" s="268"/>
      <c r="F52" s="269"/>
      <c r="G52" s="270"/>
      <c r="H52" s="271"/>
      <c r="I52" s="272" t="s">
        <v>443</v>
      </c>
      <c r="J52" s="273">
        <v>8342000</v>
      </c>
      <c r="K52" s="274" t="s">
        <v>159</v>
      </c>
      <c r="L52" s="275" t="s">
        <v>133</v>
      </c>
      <c r="M52" s="274">
        <v>4</v>
      </c>
      <c r="N52" s="274" t="s">
        <v>136</v>
      </c>
      <c r="O52" s="276" t="s">
        <v>148</v>
      </c>
      <c r="P52" s="273">
        <f>SUM(J52*M52)</f>
        <v>33368000</v>
      </c>
      <c r="Q52" s="277" t="s">
        <v>159</v>
      </c>
      <c r="S52" s="154"/>
    </row>
    <row r="53" spans="1:23" ht="17.100000000000001" customHeight="1">
      <c r="A53" s="109"/>
      <c r="B53" s="242" t="s">
        <v>164</v>
      </c>
      <c r="C53" s="189" t="s">
        <v>180</v>
      </c>
      <c r="D53" s="190">
        <f>SUM(D54:D64)</f>
        <v>531711</v>
      </c>
      <c r="E53" s="243">
        <f>SUM(E54:E64)</f>
        <v>469680</v>
      </c>
      <c r="F53" s="244">
        <f>SUM(F54:F64)</f>
        <v>624554</v>
      </c>
      <c r="G53" s="193">
        <f>+E53-D53</f>
        <v>-62031</v>
      </c>
      <c r="H53" s="278">
        <f>+G53/D53*100</f>
        <v>-11.666299926087669</v>
      </c>
      <c r="I53" s="121"/>
      <c r="J53" s="121"/>
      <c r="K53" s="155"/>
      <c r="L53" s="155"/>
      <c r="M53" s="121"/>
      <c r="N53" s="121"/>
      <c r="O53" s="121"/>
      <c r="P53" s="194">
        <f>SUM(P54,P56)</f>
        <v>469680000</v>
      </c>
      <c r="Q53" s="157" t="s">
        <v>159</v>
      </c>
      <c r="S53" s="154"/>
      <c r="T53" s="121"/>
      <c r="U53" s="121"/>
      <c r="V53" s="121"/>
      <c r="W53" s="121"/>
    </row>
    <row r="54" spans="1:23" ht="17.100000000000001" customHeight="1">
      <c r="A54" s="134"/>
      <c r="B54" s="242" t="s">
        <v>138</v>
      </c>
      <c r="C54" s="279" t="s">
        <v>275</v>
      </c>
      <c r="D54" s="137">
        <v>33000</v>
      </c>
      <c r="E54" s="138">
        <f>+P54/1000</f>
        <v>36000</v>
      </c>
      <c r="F54" s="174">
        <v>72575</v>
      </c>
      <c r="G54" s="166">
        <f>+E54-D54</f>
        <v>3000</v>
      </c>
      <c r="H54" s="235">
        <f>G54/D54*100</f>
        <v>9.0909090909090917</v>
      </c>
      <c r="I54" s="142"/>
      <c r="J54" s="169"/>
      <c r="K54" s="144"/>
      <c r="L54" s="144"/>
      <c r="M54" s="145" t="s">
        <v>173</v>
      </c>
      <c r="N54" s="145"/>
      <c r="O54" s="145"/>
      <c r="P54" s="169">
        <f>SUM(P55:P55)</f>
        <v>36000000</v>
      </c>
      <c r="Q54" s="133" t="s">
        <v>159</v>
      </c>
      <c r="S54" s="154"/>
      <c r="T54" s="121"/>
      <c r="U54" s="121"/>
      <c r="V54" s="121"/>
      <c r="W54" s="121"/>
    </row>
    <row r="55" spans="1:23" ht="17.100000000000001" customHeight="1">
      <c r="A55" s="134"/>
      <c r="B55" s="146"/>
      <c r="C55" s="279"/>
      <c r="D55" s="161"/>
      <c r="E55" s="162"/>
      <c r="F55" s="210"/>
      <c r="G55" s="211"/>
      <c r="H55" s="280"/>
      <c r="I55" s="281" t="s">
        <v>13</v>
      </c>
      <c r="J55" s="256">
        <v>100000</v>
      </c>
      <c r="K55" s="257" t="s">
        <v>159</v>
      </c>
      <c r="L55" s="258" t="s">
        <v>133</v>
      </c>
      <c r="M55" s="282">
        <v>360</v>
      </c>
      <c r="N55" s="257" t="s">
        <v>136</v>
      </c>
      <c r="O55" s="259" t="s">
        <v>148</v>
      </c>
      <c r="P55" s="256">
        <f>J55*M55</f>
        <v>36000000</v>
      </c>
      <c r="Q55" s="260" t="s">
        <v>159</v>
      </c>
      <c r="S55" s="154"/>
      <c r="T55" s="121"/>
      <c r="U55" s="121"/>
      <c r="V55" s="121"/>
      <c r="W55" s="121"/>
    </row>
    <row r="56" spans="1:23" ht="17.100000000000001" customHeight="1">
      <c r="A56" s="109"/>
      <c r="B56" s="242"/>
      <c r="C56" s="283" t="s">
        <v>316</v>
      </c>
      <c r="D56" s="137">
        <v>498711</v>
      </c>
      <c r="E56" s="232">
        <f>P56/1000</f>
        <v>433680</v>
      </c>
      <c r="F56" s="174">
        <v>551979</v>
      </c>
      <c r="G56" s="166">
        <f>+E56-D56</f>
        <v>-65031</v>
      </c>
      <c r="H56" s="167">
        <f>+G56/D56*100</f>
        <v>-13.039816647316782</v>
      </c>
      <c r="I56" s="142"/>
      <c r="J56" s="169"/>
      <c r="K56" s="144"/>
      <c r="L56" s="144"/>
      <c r="M56" s="144" t="s">
        <v>173</v>
      </c>
      <c r="N56" s="144"/>
      <c r="O56" s="144"/>
      <c r="P56" s="169">
        <f>SUM(P57:P64)</f>
        <v>433680000</v>
      </c>
      <c r="Q56" s="133" t="s">
        <v>159</v>
      </c>
      <c r="S56" s="154"/>
      <c r="T56" s="154"/>
      <c r="U56" s="121"/>
      <c r="V56" s="121"/>
      <c r="W56" s="121"/>
    </row>
    <row r="57" spans="1:23" ht="17.100000000000001" customHeight="1">
      <c r="A57" s="109"/>
      <c r="B57" s="242"/>
      <c r="C57" s="279"/>
      <c r="D57" s="148"/>
      <c r="E57" s="237"/>
      <c r="F57" s="176"/>
      <c r="G57" s="170">
        <f>+D57-E57</f>
        <v>0</v>
      </c>
      <c r="H57" s="171" t="e">
        <f>+G57/D57*100</f>
        <v>#DIV/0!</v>
      </c>
      <c r="I57" s="159" t="s">
        <v>292</v>
      </c>
      <c r="J57" s="154">
        <v>7000000</v>
      </c>
      <c r="K57" s="155" t="s">
        <v>159</v>
      </c>
      <c r="L57" s="156" t="s">
        <v>133</v>
      </c>
      <c r="M57" s="155">
        <v>12</v>
      </c>
      <c r="N57" s="155" t="s">
        <v>141</v>
      </c>
      <c r="O57" s="172" t="s">
        <v>148</v>
      </c>
      <c r="P57" s="154">
        <f>J57*M57</f>
        <v>84000000</v>
      </c>
      <c r="Q57" s="157" t="s">
        <v>159</v>
      </c>
      <c r="S57" s="154"/>
      <c r="T57" s="121"/>
      <c r="U57" s="121"/>
      <c r="V57" s="121"/>
      <c r="W57" s="121"/>
    </row>
    <row r="58" spans="1:23" ht="17.100000000000001" customHeight="1">
      <c r="A58" s="134"/>
      <c r="B58" s="146"/>
      <c r="C58" s="136"/>
      <c r="D58" s="148"/>
      <c r="E58" s="237"/>
      <c r="F58" s="176"/>
      <c r="G58" s="170"/>
      <c r="H58" s="171" t="e">
        <f>+G58/D58*100</f>
        <v>#DIV/0!</v>
      </c>
      <c r="I58" s="159" t="s">
        <v>177</v>
      </c>
      <c r="J58" s="154">
        <v>23690000</v>
      </c>
      <c r="K58" s="155" t="s">
        <v>159</v>
      </c>
      <c r="L58" s="156" t="s">
        <v>133</v>
      </c>
      <c r="M58" s="155">
        <v>12</v>
      </c>
      <c r="N58" s="155" t="s">
        <v>141</v>
      </c>
      <c r="O58" s="172" t="s">
        <v>148</v>
      </c>
      <c r="P58" s="154">
        <f>SUM(J58*M58)</f>
        <v>284280000</v>
      </c>
      <c r="Q58" s="157" t="s">
        <v>159</v>
      </c>
      <c r="S58" s="154"/>
      <c r="T58" s="121"/>
      <c r="U58" s="121"/>
      <c r="V58" s="121"/>
      <c r="W58" s="121"/>
    </row>
    <row r="59" spans="1:23" ht="17.100000000000001" customHeight="1">
      <c r="A59" s="134"/>
      <c r="B59" s="146"/>
      <c r="C59" s="136"/>
      <c r="D59" s="148"/>
      <c r="E59" s="237"/>
      <c r="F59" s="176"/>
      <c r="G59" s="170"/>
      <c r="H59" s="171"/>
      <c r="I59" s="121" t="s">
        <v>49</v>
      </c>
      <c r="J59" s="154">
        <v>1500000</v>
      </c>
      <c r="K59" s="155" t="s">
        <v>159</v>
      </c>
      <c r="L59" s="156" t="s">
        <v>133</v>
      </c>
      <c r="M59" s="155">
        <v>12</v>
      </c>
      <c r="N59" s="155" t="s">
        <v>136</v>
      </c>
      <c r="O59" s="172" t="s">
        <v>148</v>
      </c>
      <c r="P59" s="154">
        <f>SUM(J59*M59)</f>
        <v>18000000</v>
      </c>
      <c r="Q59" s="157" t="s">
        <v>159</v>
      </c>
      <c r="S59" s="154"/>
      <c r="T59" s="121"/>
      <c r="U59" s="121"/>
      <c r="V59" s="121"/>
      <c r="W59" s="121"/>
    </row>
    <row r="60" spans="1:23" ht="17.100000000000001" customHeight="1">
      <c r="A60" s="134"/>
      <c r="B60" s="146"/>
      <c r="C60" s="136"/>
      <c r="D60" s="148"/>
      <c r="E60" s="237"/>
      <c r="F60" s="176"/>
      <c r="G60" s="170"/>
      <c r="H60" s="171"/>
      <c r="I60" s="121" t="s">
        <v>67</v>
      </c>
      <c r="J60" s="154">
        <v>2400000</v>
      </c>
      <c r="K60" s="155" t="s">
        <v>159</v>
      </c>
      <c r="L60" s="156" t="s">
        <v>133</v>
      </c>
      <c r="M60" s="155">
        <v>12</v>
      </c>
      <c r="N60" s="155" t="s">
        <v>136</v>
      </c>
      <c r="O60" s="172" t="s">
        <v>148</v>
      </c>
      <c r="P60" s="154">
        <f>SUM(J60*M60)</f>
        <v>28800000</v>
      </c>
      <c r="Q60" s="157" t="s">
        <v>159</v>
      </c>
      <c r="S60" s="154"/>
      <c r="T60" s="121"/>
      <c r="U60" s="121"/>
      <c r="V60" s="121"/>
      <c r="W60" s="121"/>
    </row>
    <row r="61" spans="1:23" ht="17.100000000000001" customHeight="1">
      <c r="A61" s="134"/>
      <c r="B61" s="146"/>
      <c r="C61" s="136"/>
      <c r="D61" s="148"/>
      <c r="E61" s="237"/>
      <c r="F61" s="176"/>
      <c r="G61" s="170"/>
      <c r="H61" s="171"/>
      <c r="I61" s="159" t="s">
        <v>248</v>
      </c>
      <c r="J61" s="154">
        <v>1300000</v>
      </c>
      <c r="K61" s="155" t="s">
        <v>159</v>
      </c>
      <c r="L61" s="156" t="s">
        <v>133</v>
      </c>
      <c r="M61" s="155">
        <v>12</v>
      </c>
      <c r="N61" s="155" t="s">
        <v>136</v>
      </c>
      <c r="O61" s="172" t="s">
        <v>148</v>
      </c>
      <c r="P61" s="154">
        <f>SUM(J61*M61)</f>
        <v>15600000</v>
      </c>
      <c r="Q61" s="120" t="s">
        <v>159</v>
      </c>
      <c r="S61" s="154"/>
      <c r="T61" s="121"/>
      <c r="U61" s="121"/>
      <c r="V61" s="121"/>
      <c r="W61" s="121"/>
    </row>
    <row r="62" spans="1:23" ht="17.100000000000001" customHeight="1">
      <c r="A62" s="134"/>
      <c r="B62" s="146"/>
      <c r="C62" s="136"/>
      <c r="D62" s="148"/>
      <c r="E62" s="237"/>
      <c r="F62" s="176"/>
      <c r="G62" s="170"/>
      <c r="H62" s="171"/>
      <c r="I62" s="159" t="s">
        <v>289</v>
      </c>
      <c r="J62" s="154"/>
      <c r="K62" s="155" t="s">
        <v>159</v>
      </c>
      <c r="L62" s="156" t="s">
        <v>133</v>
      </c>
      <c r="M62" s="155"/>
      <c r="N62" s="155" t="s">
        <v>136</v>
      </c>
      <c r="O62" s="172" t="s">
        <v>148</v>
      </c>
      <c r="P62" s="154">
        <f>J62*M62</f>
        <v>0</v>
      </c>
      <c r="Q62" s="120" t="s">
        <v>159</v>
      </c>
      <c r="S62" s="154"/>
      <c r="T62" s="121"/>
      <c r="U62" s="121"/>
      <c r="V62" s="121"/>
      <c r="W62" s="121"/>
    </row>
    <row r="63" spans="1:23" ht="17.100000000000001" customHeight="1">
      <c r="A63" s="134"/>
      <c r="B63" s="146"/>
      <c r="C63" s="136"/>
      <c r="D63" s="148"/>
      <c r="E63" s="237"/>
      <c r="F63" s="176"/>
      <c r="G63" s="170"/>
      <c r="H63" s="171" t="e">
        <f>+G63/D63*100</f>
        <v>#DIV/0!</v>
      </c>
      <c r="I63" s="159" t="s">
        <v>346</v>
      </c>
      <c r="J63" s="154">
        <v>200000</v>
      </c>
      <c r="K63" s="155" t="s">
        <v>159</v>
      </c>
      <c r="L63" s="156" t="s">
        <v>133</v>
      </c>
      <c r="M63" s="155">
        <v>12</v>
      </c>
      <c r="N63" s="155" t="s">
        <v>136</v>
      </c>
      <c r="O63" s="172" t="s">
        <v>148</v>
      </c>
      <c r="P63" s="154">
        <f>SUM(J63*M63)</f>
        <v>2400000</v>
      </c>
      <c r="Q63" s="120" t="s">
        <v>159</v>
      </c>
      <c r="S63" s="154"/>
      <c r="T63" s="121"/>
      <c r="U63" s="121"/>
      <c r="V63" s="121"/>
      <c r="W63" s="121"/>
    </row>
    <row r="64" spans="1:23" ht="17.100000000000001" customHeight="1">
      <c r="A64" s="284"/>
      <c r="B64" s="285"/>
      <c r="C64" s="279"/>
      <c r="D64" s="161"/>
      <c r="E64" s="286"/>
      <c r="F64" s="210"/>
      <c r="G64" s="211"/>
      <c r="H64" s="212"/>
      <c r="I64" s="255" t="s">
        <v>192</v>
      </c>
      <c r="J64" s="256">
        <v>50000</v>
      </c>
      <c r="K64" s="257" t="s">
        <v>159</v>
      </c>
      <c r="L64" s="258" t="s">
        <v>133</v>
      </c>
      <c r="M64" s="257">
        <v>12</v>
      </c>
      <c r="N64" s="257" t="s">
        <v>136</v>
      </c>
      <c r="O64" s="259" t="s">
        <v>148</v>
      </c>
      <c r="P64" s="256">
        <f>J64*M64</f>
        <v>600000</v>
      </c>
      <c r="Q64" s="260" t="s">
        <v>159</v>
      </c>
      <c r="S64" s="154"/>
      <c r="T64" s="121"/>
      <c r="U64" s="121"/>
      <c r="V64" s="121"/>
      <c r="W64" s="121"/>
    </row>
    <row r="65" spans="1:23" ht="18.95" customHeight="1">
      <c r="A65" s="240" t="s">
        <v>145</v>
      </c>
      <c r="B65" s="178" t="s">
        <v>179</v>
      </c>
      <c r="C65" s="179"/>
      <c r="D65" s="180">
        <f>SUM(D66)</f>
        <v>2803333</v>
      </c>
      <c r="E65" s="181">
        <f>SUM(E66)</f>
        <v>2123529.99988</v>
      </c>
      <c r="F65" s="287">
        <f>SUM(F66)</f>
        <v>875385</v>
      </c>
      <c r="G65" s="183">
        <f>+E65-D65</f>
        <v>-679803.00011999998</v>
      </c>
      <c r="H65" s="184">
        <f>+G65/D65*100</f>
        <v>-24.249812638027663</v>
      </c>
      <c r="I65" s="185"/>
      <c r="J65" s="185"/>
      <c r="K65" s="186"/>
      <c r="L65" s="186"/>
      <c r="M65" s="185"/>
      <c r="N65" s="185"/>
      <c r="O65" s="185"/>
      <c r="P65" s="187">
        <f>P66</f>
        <v>2123529999.8800001</v>
      </c>
      <c r="Q65" s="188" t="s">
        <v>159</v>
      </c>
      <c r="S65" s="154"/>
      <c r="T65" s="121"/>
      <c r="U65" s="121"/>
      <c r="V65" s="121"/>
      <c r="W65" s="121"/>
    </row>
    <row r="66" spans="1:23" ht="17.100000000000001" customHeight="1">
      <c r="A66" s="134"/>
      <c r="B66" s="242" t="s">
        <v>145</v>
      </c>
      <c r="C66" s="224" t="s">
        <v>180</v>
      </c>
      <c r="D66" s="225">
        <f>SUM(D67:D79)</f>
        <v>2803333</v>
      </c>
      <c r="E66" s="226">
        <f>P66/1000</f>
        <v>2123529.99988</v>
      </c>
      <c r="F66" s="288">
        <f>SUM(F67:F69)</f>
        <v>875385</v>
      </c>
      <c r="G66" s="128">
        <f>+E66-D66</f>
        <v>-679803.00011999998</v>
      </c>
      <c r="H66" s="129">
        <f>+G66/D66*100</f>
        <v>-24.249812638027663</v>
      </c>
      <c r="I66" s="121"/>
      <c r="J66" s="121"/>
      <c r="K66" s="155"/>
      <c r="L66" s="155"/>
      <c r="M66" s="121"/>
      <c r="N66" s="121"/>
      <c r="O66" s="121"/>
      <c r="P66" s="194">
        <f>SUM(P67,P70,P73,P76)</f>
        <v>2123529999.8800001</v>
      </c>
      <c r="Q66" s="157" t="s">
        <v>159</v>
      </c>
      <c r="S66" s="154"/>
      <c r="T66" s="121"/>
      <c r="U66" s="121"/>
      <c r="V66" s="121"/>
      <c r="W66" s="121"/>
    </row>
    <row r="67" spans="1:23" ht="17.100000000000001" customHeight="1">
      <c r="A67" s="134"/>
      <c r="B67" s="146"/>
      <c r="C67" s="136" t="s">
        <v>398</v>
      </c>
      <c r="D67" s="137">
        <v>1067800</v>
      </c>
      <c r="E67" s="138">
        <f>+P67/1000</f>
        <v>1061659.9999199999</v>
      </c>
      <c r="F67" s="174">
        <v>875385</v>
      </c>
      <c r="G67" s="166">
        <f>+E67-D67</f>
        <v>-6140.0000800001435</v>
      </c>
      <c r="H67" s="167">
        <f>+G67/D67*100</f>
        <v>-0.57501405506650527</v>
      </c>
      <c r="I67" s="142"/>
      <c r="J67" s="143"/>
      <c r="K67" s="144"/>
      <c r="L67" s="144"/>
      <c r="M67" s="145" t="s">
        <v>173</v>
      </c>
      <c r="N67" s="145"/>
      <c r="O67" s="145"/>
      <c r="P67" s="143">
        <f>SUM(P68:P69)</f>
        <v>1061659999.92</v>
      </c>
      <c r="Q67" s="133" t="s">
        <v>159</v>
      </c>
      <c r="S67" s="289"/>
    </row>
    <row r="68" spans="1:23" ht="17.100000000000001" customHeight="1">
      <c r="A68" s="134"/>
      <c r="B68" s="146"/>
      <c r="C68" s="147"/>
      <c r="D68" s="148"/>
      <c r="E68" s="149"/>
      <c r="F68" s="176"/>
      <c r="G68" s="170">
        <f>+E68-D68</f>
        <v>0</v>
      </c>
      <c r="H68" s="171"/>
      <c r="I68" s="159" t="s">
        <v>16</v>
      </c>
      <c r="J68" s="122">
        <v>11805000</v>
      </c>
      <c r="K68" s="155" t="s">
        <v>159</v>
      </c>
      <c r="L68" s="156" t="s">
        <v>133</v>
      </c>
      <c r="M68" s="155">
        <v>12</v>
      </c>
      <c r="N68" s="155" t="s">
        <v>141</v>
      </c>
      <c r="O68" s="172" t="s">
        <v>148</v>
      </c>
      <c r="P68" s="122">
        <f>SUM(J68*M68)</f>
        <v>141660000</v>
      </c>
      <c r="Q68" s="157" t="s">
        <v>159</v>
      </c>
    </row>
    <row r="69" spans="1:23" ht="17.100000000000001" customHeight="1">
      <c r="A69" s="134"/>
      <c r="B69" s="146"/>
      <c r="C69" s="160"/>
      <c r="D69" s="161"/>
      <c r="E69" s="162"/>
      <c r="F69" s="210"/>
      <c r="G69" s="211">
        <f>+E69-D69</f>
        <v>0</v>
      </c>
      <c r="H69" s="212"/>
      <c r="I69" s="281" t="s">
        <v>11</v>
      </c>
      <c r="J69" s="165">
        <v>76666666.659999996</v>
      </c>
      <c r="K69" s="257" t="s">
        <v>159</v>
      </c>
      <c r="L69" s="258" t="s">
        <v>133</v>
      </c>
      <c r="M69" s="257">
        <v>12</v>
      </c>
      <c r="N69" s="257" t="s">
        <v>136</v>
      </c>
      <c r="O69" s="259" t="s">
        <v>148</v>
      </c>
      <c r="P69" s="165">
        <f>SUM(J69*M69)</f>
        <v>919999999.91999996</v>
      </c>
      <c r="Q69" s="260" t="s">
        <v>159</v>
      </c>
    </row>
    <row r="70" spans="1:23" ht="17.100000000000001" customHeight="1">
      <c r="A70" s="134"/>
      <c r="B70" s="146"/>
      <c r="C70" s="136" t="s">
        <v>393</v>
      </c>
      <c r="D70" s="137">
        <v>776782</v>
      </c>
      <c r="E70" s="138">
        <f>+P70/1000</f>
        <v>106630</v>
      </c>
      <c r="F70" s="174">
        <v>593059</v>
      </c>
      <c r="G70" s="166">
        <f>E70-D70</f>
        <v>-670152</v>
      </c>
      <c r="H70" s="167">
        <f>+G70/D70*100</f>
        <v>-86.272853902381868</v>
      </c>
      <c r="I70" s="142"/>
      <c r="J70" s="169"/>
      <c r="K70" s="144"/>
      <c r="L70" s="144"/>
      <c r="M70" s="145" t="s">
        <v>173</v>
      </c>
      <c r="N70" s="145"/>
      <c r="O70" s="145"/>
      <c r="P70" s="169">
        <f>SUM(P71:P72)</f>
        <v>106630000</v>
      </c>
      <c r="Q70" s="133" t="s">
        <v>159</v>
      </c>
    </row>
    <row r="71" spans="1:23" ht="17.100000000000001" customHeight="1">
      <c r="A71" s="134"/>
      <c r="B71" s="189"/>
      <c r="C71" s="147"/>
      <c r="D71" s="148"/>
      <c r="E71" s="149"/>
      <c r="F71" s="176"/>
      <c r="G71" s="170"/>
      <c r="H71" s="171"/>
      <c r="I71" s="121" t="s">
        <v>421</v>
      </c>
      <c r="J71" s="154">
        <v>0</v>
      </c>
      <c r="K71" s="155" t="s">
        <v>159</v>
      </c>
      <c r="L71" s="156" t="s">
        <v>133</v>
      </c>
      <c r="M71" s="155">
        <v>0</v>
      </c>
      <c r="N71" s="155" t="s">
        <v>136</v>
      </c>
      <c r="O71" s="290" t="s">
        <v>148</v>
      </c>
      <c r="P71" s="154">
        <f>SUM(J71*M71)</f>
        <v>0</v>
      </c>
      <c r="Q71" s="157" t="s">
        <v>159</v>
      </c>
    </row>
    <row r="72" spans="1:23" ht="17.100000000000001" customHeight="1">
      <c r="A72" s="134"/>
      <c r="B72" s="189"/>
      <c r="C72" s="160"/>
      <c r="D72" s="161"/>
      <c r="E72" s="162"/>
      <c r="F72" s="210"/>
      <c r="G72" s="211"/>
      <c r="H72" s="212"/>
      <c r="I72" s="281" t="s">
        <v>423</v>
      </c>
      <c r="J72" s="256">
        <v>106630000</v>
      </c>
      <c r="K72" s="257" t="s">
        <v>159</v>
      </c>
      <c r="L72" s="258" t="s">
        <v>133</v>
      </c>
      <c r="M72" s="257">
        <v>1</v>
      </c>
      <c r="N72" s="257" t="s">
        <v>136</v>
      </c>
      <c r="O72" s="259" t="s">
        <v>148</v>
      </c>
      <c r="P72" s="256">
        <f>SUM(J72*M72)</f>
        <v>106630000</v>
      </c>
      <c r="Q72" s="260" t="s">
        <v>159</v>
      </c>
      <c r="T72" s="291"/>
    </row>
    <row r="73" spans="1:23" ht="17.100000000000001" customHeight="1">
      <c r="A73" s="109"/>
      <c r="B73" s="242"/>
      <c r="C73" s="173" t="s">
        <v>369</v>
      </c>
      <c r="D73" s="137">
        <v>670350</v>
      </c>
      <c r="E73" s="138">
        <f>+P73/1000</f>
        <v>670350</v>
      </c>
      <c r="F73" s="174">
        <v>538723</v>
      </c>
      <c r="G73" s="166">
        <f>+E73-D73</f>
        <v>0</v>
      </c>
      <c r="H73" s="167">
        <f>+G73/D73*100</f>
        <v>0</v>
      </c>
      <c r="I73" s="142"/>
      <c r="J73" s="169"/>
      <c r="K73" s="144"/>
      <c r="L73" s="144"/>
      <c r="M73" s="145" t="s">
        <v>173</v>
      </c>
      <c r="N73" s="145"/>
      <c r="O73" s="145"/>
      <c r="P73" s="169">
        <f>SUM(P74:P75)</f>
        <v>670350000</v>
      </c>
      <c r="Q73" s="133" t="s">
        <v>159</v>
      </c>
    </row>
    <row r="74" spans="1:23" ht="17.100000000000001" customHeight="1">
      <c r="A74" s="134"/>
      <c r="B74" s="189"/>
      <c r="C74" s="175"/>
      <c r="D74" s="148"/>
      <c r="E74" s="149"/>
      <c r="F74" s="176"/>
      <c r="G74" s="170"/>
      <c r="H74" s="171"/>
      <c r="I74" s="121" t="s">
        <v>444</v>
      </c>
      <c r="J74" s="154">
        <v>215175000</v>
      </c>
      <c r="K74" s="155" t="s">
        <v>159</v>
      </c>
      <c r="L74" s="156" t="s">
        <v>133</v>
      </c>
      <c r="M74" s="155">
        <v>2</v>
      </c>
      <c r="N74" s="155" t="s">
        <v>136</v>
      </c>
      <c r="O74" s="172" t="s">
        <v>148</v>
      </c>
      <c r="P74" s="154">
        <f>SUM(J74*M74)</f>
        <v>430350000</v>
      </c>
      <c r="Q74" s="157" t="s">
        <v>159</v>
      </c>
    </row>
    <row r="75" spans="1:23" ht="17.100000000000001" customHeight="1">
      <c r="A75" s="134"/>
      <c r="B75" s="189"/>
      <c r="C75" s="292"/>
      <c r="D75" s="161"/>
      <c r="E75" s="162"/>
      <c r="F75" s="210"/>
      <c r="G75" s="211">
        <f>+D75-E75</f>
        <v>0</v>
      </c>
      <c r="H75" s="212"/>
      <c r="I75" s="255" t="s">
        <v>400</v>
      </c>
      <c r="J75" s="256">
        <v>20000000</v>
      </c>
      <c r="K75" s="257" t="s">
        <v>159</v>
      </c>
      <c r="L75" s="258" t="s">
        <v>133</v>
      </c>
      <c r="M75" s="257">
        <v>12</v>
      </c>
      <c r="N75" s="257" t="s">
        <v>136</v>
      </c>
      <c r="O75" s="259" t="s">
        <v>148</v>
      </c>
      <c r="P75" s="256">
        <f>SUM(J75*M75)</f>
        <v>240000000</v>
      </c>
      <c r="Q75" s="260" t="s">
        <v>159</v>
      </c>
    </row>
    <row r="76" spans="1:23" ht="17.100000000000001" customHeight="1">
      <c r="A76" s="109"/>
      <c r="B76" s="293"/>
      <c r="C76" s="195" t="s">
        <v>364</v>
      </c>
      <c r="D76" s="137">
        <v>288401</v>
      </c>
      <c r="E76" s="137">
        <f>+P76/1000</f>
        <v>284889.99996000004</v>
      </c>
      <c r="F76" s="174">
        <v>22522</v>
      </c>
      <c r="G76" s="166">
        <f>+E76-D76</f>
        <v>-3511.0000399999553</v>
      </c>
      <c r="H76" s="167">
        <f>+G76/D76*100</f>
        <v>-1.2174021726692887</v>
      </c>
      <c r="I76" s="142"/>
      <c r="J76" s="143"/>
      <c r="K76" s="144"/>
      <c r="L76" s="144"/>
      <c r="M76" s="145" t="s">
        <v>173</v>
      </c>
      <c r="N76" s="145"/>
      <c r="O76" s="145"/>
      <c r="P76" s="143">
        <f>SUM(P77:P80)</f>
        <v>284889999.96000004</v>
      </c>
      <c r="Q76" s="133" t="s">
        <v>159</v>
      </c>
    </row>
    <row r="77" spans="1:23" ht="17.100000000000001" customHeight="1">
      <c r="A77" s="134"/>
      <c r="B77" s="189"/>
      <c r="C77" s="199"/>
      <c r="D77" s="148"/>
      <c r="E77" s="148"/>
      <c r="F77" s="176"/>
      <c r="G77" s="170"/>
      <c r="H77" s="171"/>
      <c r="I77" s="294" t="s">
        <v>202</v>
      </c>
      <c r="J77" s="154">
        <v>8250833.3300000001</v>
      </c>
      <c r="K77" s="155" t="s">
        <v>159</v>
      </c>
      <c r="L77" s="156" t="s">
        <v>133</v>
      </c>
      <c r="M77" s="155">
        <v>12</v>
      </c>
      <c r="N77" s="155" t="s">
        <v>141</v>
      </c>
      <c r="O77" s="172" t="s">
        <v>148</v>
      </c>
      <c r="P77" s="154">
        <f>SUM(J77*M77)</f>
        <v>99009999.960000008</v>
      </c>
      <c r="Q77" s="157" t="s">
        <v>159</v>
      </c>
    </row>
    <row r="78" spans="1:23" ht="17.100000000000001" customHeight="1">
      <c r="A78" s="134"/>
      <c r="B78" s="189"/>
      <c r="C78" s="199"/>
      <c r="D78" s="148"/>
      <c r="E78" s="148"/>
      <c r="F78" s="150"/>
      <c r="G78" s="170"/>
      <c r="H78" s="171"/>
      <c r="I78" s="294" t="s">
        <v>429</v>
      </c>
      <c r="J78" s="154">
        <v>12915000</v>
      </c>
      <c r="K78" s="155" t="s">
        <v>159</v>
      </c>
      <c r="L78" s="156" t="s">
        <v>133</v>
      </c>
      <c r="M78" s="155">
        <v>12</v>
      </c>
      <c r="N78" s="155" t="s">
        <v>136</v>
      </c>
      <c r="O78" s="172" t="s">
        <v>148</v>
      </c>
      <c r="P78" s="154">
        <v>165960000</v>
      </c>
      <c r="Q78" s="157" t="s">
        <v>159</v>
      </c>
    </row>
    <row r="79" spans="1:23" ht="17.100000000000001" customHeight="1">
      <c r="A79" s="134"/>
      <c r="B79" s="146"/>
      <c r="C79" s="199"/>
      <c r="D79" s="148"/>
      <c r="E79" s="148"/>
      <c r="F79" s="158"/>
      <c r="G79" s="170"/>
      <c r="H79" s="171"/>
      <c r="I79" s="294" t="s">
        <v>452</v>
      </c>
      <c r="J79" s="154">
        <v>19920000</v>
      </c>
      <c r="K79" s="155" t="s">
        <v>159</v>
      </c>
      <c r="L79" s="156" t="s">
        <v>133</v>
      </c>
      <c r="M79" s="155">
        <v>1</v>
      </c>
      <c r="N79" s="155" t="s">
        <v>136</v>
      </c>
      <c r="O79" s="172" t="s">
        <v>148</v>
      </c>
      <c r="P79" s="154">
        <f>SUM(J79*M79)</f>
        <v>19920000</v>
      </c>
      <c r="Q79" s="157" t="s">
        <v>159</v>
      </c>
    </row>
    <row r="80" spans="1:23" ht="17.100000000000001" customHeight="1">
      <c r="A80" s="284"/>
      <c r="B80" s="285"/>
      <c r="C80" s="209"/>
      <c r="D80" s="161"/>
      <c r="E80" s="161"/>
      <c r="F80" s="158"/>
      <c r="G80" s="211"/>
      <c r="H80" s="212"/>
      <c r="I80" s="295" t="s">
        <v>451</v>
      </c>
      <c r="J80" s="256">
        <v>0</v>
      </c>
      <c r="K80" s="257" t="s">
        <v>159</v>
      </c>
      <c r="L80" s="258" t="s">
        <v>133</v>
      </c>
      <c r="M80" s="257">
        <v>1</v>
      </c>
      <c r="N80" s="257" t="s">
        <v>136</v>
      </c>
      <c r="O80" s="259" t="s">
        <v>148</v>
      </c>
      <c r="P80" s="256">
        <f>SUM(J80*M80)</f>
        <v>0</v>
      </c>
      <c r="Q80" s="260" t="s">
        <v>159</v>
      </c>
    </row>
    <row r="81" spans="1:27" ht="18.95" customHeight="1">
      <c r="A81" s="240" t="s">
        <v>169</v>
      </c>
      <c r="B81" s="178" t="s">
        <v>179</v>
      </c>
      <c r="C81" s="179"/>
      <c r="D81" s="180">
        <f>SUM(D82)</f>
        <v>4321910</v>
      </c>
      <c r="E81" s="181">
        <f>SUM(E82)</f>
        <v>4408295.1519999998</v>
      </c>
      <c r="F81" s="287">
        <f>SUM(F82)</f>
        <v>1596860</v>
      </c>
      <c r="G81" s="183">
        <f>+E81-D81</f>
        <v>86385.151999999769</v>
      </c>
      <c r="H81" s="184">
        <f t="shared" ref="H81:H93" si="2">+G81/D81*100</f>
        <v>1.9987725797159073</v>
      </c>
      <c r="I81" s="185"/>
      <c r="J81" s="185"/>
      <c r="K81" s="186"/>
      <c r="L81" s="186"/>
      <c r="M81" s="185"/>
      <c r="N81" s="185"/>
      <c r="O81" s="185"/>
      <c r="P81" s="187">
        <f>SUM(P82)</f>
        <v>4408295152</v>
      </c>
      <c r="Q81" s="188" t="s">
        <v>159</v>
      </c>
    </row>
    <row r="82" spans="1:27" ht="17.100000000000001" customHeight="1">
      <c r="A82" s="134"/>
      <c r="B82" s="296" t="s">
        <v>169</v>
      </c>
      <c r="C82" s="124" t="s">
        <v>180</v>
      </c>
      <c r="D82" s="125">
        <f>SUM(D83:D85)</f>
        <v>4321910</v>
      </c>
      <c r="E82" s="297">
        <f>SUM(E83:E85)</f>
        <v>4408295.1519999998</v>
      </c>
      <c r="F82" s="298">
        <f>SUM(F83:F85)</f>
        <v>1596860</v>
      </c>
      <c r="G82" s="128">
        <f>E82-D82</f>
        <v>86385.151999999769</v>
      </c>
      <c r="H82" s="129">
        <f t="shared" si="2"/>
        <v>1.9987725797159073</v>
      </c>
      <c r="I82" s="245" t="s">
        <v>172</v>
      </c>
      <c r="J82" s="185" t="s">
        <v>172</v>
      </c>
      <c r="K82" s="144"/>
      <c r="L82" s="144"/>
      <c r="M82" s="245"/>
      <c r="N82" s="299" t="s">
        <v>173</v>
      </c>
      <c r="O82" s="299"/>
      <c r="P82" s="132">
        <f>SUM(P83:P85)</f>
        <v>4408295152</v>
      </c>
      <c r="Q82" s="133" t="s">
        <v>159</v>
      </c>
    </row>
    <row r="83" spans="1:27" ht="17.100000000000001" customHeight="1">
      <c r="A83" s="134"/>
      <c r="B83" s="146"/>
      <c r="C83" s="300" t="s">
        <v>33</v>
      </c>
      <c r="D83" s="301">
        <v>2225678</v>
      </c>
      <c r="E83" s="302">
        <f>+P83/1000</f>
        <v>2317648.2620000001</v>
      </c>
      <c r="F83" s="303">
        <v>313065</v>
      </c>
      <c r="G83" s="128">
        <f>E83-D83</f>
        <v>91970.262000000104</v>
      </c>
      <c r="H83" s="129">
        <f t="shared" si="2"/>
        <v>4.1322357501848916</v>
      </c>
      <c r="I83" s="304" t="s">
        <v>33</v>
      </c>
      <c r="J83" s="305">
        <v>2317648262</v>
      </c>
      <c r="K83" s="185" t="s">
        <v>159</v>
      </c>
      <c r="L83" s="306" t="s">
        <v>133</v>
      </c>
      <c r="M83" s="186">
        <v>1</v>
      </c>
      <c r="N83" s="186" t="s">
        <v>136</v>
      </c>
      <c r="O83" s="307" t="s">
        <v>148</v>
      </c>
      <c r="P83" s="308">
        <f>+J83*M83</f>
        <v>2317648262</v>
      </c>
      <c r="Q83" s="231" t="s">
        <v>159</v>
      </c>
    </row>
    <row r="84" spans="1:27" ht="17.100000000000001" customHeight="1">
      <c r="A84" s="134"/>
      <c r="B84" s="146"/>
      <c r="C84" s="300" t="s">
        <v>213</v>
      </c>
      <c r="D84" s="225">
        <v>837896</v>
      </c>
      <c r="E84" s="302">
        <f>+P84/1000</f>
        <v>881412.84</v>
      </c>
      <c r="F84" s="303">
        <v>1283795</v>
      </c>
      <c r="G84" s="128">
        <f>E84-D84</f>
        <v>43516.839999999967</v>
      </c>
      <c r="H84" s="129">
        <f t="shared" si="2"/>
        <v>5.1935848840428847</v>
      </c>
      <c r="I84" s="304" t="s">
        <v>213</v>
      </c>
      <c r="J84" s="305">
        <v>881412840</v>
      </c>
      <c r="K84" s="185" t="s">
        <v>159</v>
      </c>
      <c r="L84" s="306" t="s">
        <v>133</v>
      </c>
      <c r="M84" s="186">
        <v>1</v>
      </c>
      <c r="N84" s="186" t="s">
        <v>136</v>
      </c>
      <c r="O84" s="307" t="s">
        <v>148</v>
      </c>
      <c r="P84" s="308">
        <f>+J84*M84</f>
        <v>881412840</v>
      </c>
      <c r="Q84" s="231" t="s">
        <v>159</v>
      </c>
    </row>
    <row r="85" spans="1:27" ht="17.100000000000001" customHeight="1">
      <c r="A85" s="134"/>
      <c r="B85" s="146" t="s">
        <v>172</v>
      </c>
      <c r="C85" s="124" t="s">
        <v>224</v>
      </c>
      <c r="D85" s="225">
        <v>1258336</v>
      </c>
      <c r="E85" s="302">
        <f>+P85/1000</f>
        <v>1209234.05</v>
      </c>
      <c r="F85" s="303">
        <v>0</v>
      </c>
      <c r="G85" s="128">
        <f>E85-D85</f>
        <v>-49101.949999999953</v>
      </c>
      <c r="H85" s="129">
        <f t="shared" si="2"/>
        <v>-3.9021334524324152</v>
      </c>
      <c r="I85" s="142" t="s">
        <v>224</v>
      </c>
      <c r="J85" s="305">
        <v>1209234050</v>
      </c>
      <c r="K85" s="245" t="s">
        <v>159</v>
      </c>
      <c r="L85" s="168" t="s">
        <v>133</v>
      </c>
      <c r="M85" s="144">
        <v>1</v>
      </c>
      <c r="N85" s="144" t="s">
        <v>136</v>
      </c>
      <c r="O85" s="309" t="s">
        <v>148</v>
      </c>
      <c r="P85" s="169">
        <f>+J85*M85</f>
        <v>1209234050</v>
      </c>
      <c r="Q85" s="133" t="s">
        <v>159</v>
      </c>
    </row>
    <row r="86" spans="1:27" ht="18.95" customHeight="1">
      <c r="A86" s="240" t="s">
        <v>174</v>
      </c>
      <c r="B86" s="179" t="s">
        <v>179</v>
      </c>
      <c r="C86" s="241"/>
      <c r="D86" s="310">
        <f>D87</f>
        <v>271183</v>
      </c>
      <c r="E86" s="181">
        <f>E87</f>
        <v>49720.54</v>
      </c>
      <c r="F86" s="180">
        <f>F87</f>
        <v>0</v>
      </c>
      <c r="G86" s="183">
        <f>G87</f>
        <v>-221462.46</v>
      </c>
      <c r="H86" s="184">
        <f t="shared" si="2"/>
        <v>-81.665318253725331</v>
      </c>
      <c r="I86" s="142"/>
      <c r="J86" s="169"/>
      <c r="K86" s="245"/>
      <c r="L86" s="168"/>
      <c r="M86" s="144"/>
      <c r="N86" s="144"/>
      <c r="O86" s="309"/>
      <c r="P86" s="311">
        <f>SUM(P87)</f>
        <v>49720540</v>
      </c>
      <c r="Q86" s="312" t="s">
        <v>159</v>
      </c>
    </row>
    <row r="87" spans="1:27" ht="17.100000000000001" customHeight="1">
      <c r="A87" s="109"/>
      <c r="B87" s="242" t="s">
        <v>174</v>
      </c>
      <c r="C87" s="313" t="s">
        <v>180</v>
      </c>
      <c r="D87" s="125">
        <f>SUM(D88:D93)</f>
        <v>271183</v>
      </c>
      <c r="E87" s="297">
        <f>SUM(E88:E93)</f>
        <v>49720.54</v>
      </c>
      <c r="F87" s="314"/>
      <c r="G87" s="128">
        <f>E87-D87</f>
        <v>-221462.46</v>
      </c>
      <c r="H87" s="315">
        <f>G87/D87*100</f>
        <v>-81.665318253725331</v>
      </c>
      <c r="I87" s="142"/>
      <c r="J87" s="169"/>
      <c r="K87" s="245"/>
      <c r="L87" s="168"/>
      <c r="M87" s="144"/>
      <c r="N87" s="299" t="s">
        <v>173</v>
      </c>
      <c r="O87" s="299"/>
      <c r="P87" s="169">
        <f>SUM(P88:P90)</f>
        <v>49720540</v>
      </c>
      <c r="Q87" s="133" t="s">
        <v>159</v>
      </c>
    </row>
    <row r="88" spans="1:27" ht="17.100000000000001" customHeight="1">
      <c r="A88" s="134"/>
      <c r="B88" s="146"/>
      <c r="C88" s="224" t="s">
        <v>226</v>
      </c>
      <c r="D88" s="225">
        <v>12000</v>
      </c>
      <c r="E88" s="297">
        <f>P88/1000</f>
        <v>12000</v>
      </c>
      <c r="F88" s="316"/>
      <c r="G88" s="128">
        <f>+E88-D88</f>
        <v>0</v>
      </c>
      <c r="H88" s="315">
        <f>G88/D88*100</f>
        <v>0</v>
      </c>
      <c r="I88" s="304" t="s">
        <v>226</v>
      </c>
      <c r="J88" s="305">
        <v>3000000</v>
      </c>
      <c r="K88" s="186" t="s">
        <v>159</v>
      </c>
      <c r="L88" s="306" t="s">
        <v>133</v>
      </c>
      <c r="M88" s="186">
        <v>4</v>
      </c>
      <c r="N88" s="186" t="s">
        <v>168</v>
      </c>
      <c r="O88" s="307" t="s">
        <v>148</v>
      </c>
      <c r="P88" s="305">
        <f>SUM(J88*M88)</f>
        <v>12000000</v>
      </c>
      <c r="Q88" s="231" t="s">
        <v>159</v>
      </c>
      <c r="T88" s="74"/>
    </row>
    <row r="89" spans="1:27" ht="17.100000000000001" customHeight="1">
      <c r="A89" s="134"/>
      <c r="B89" s="146"/>
      <c r="C89" s="224" t="s">
        <v>342</v>
      </c>
      <c r="D89" s="225">
        <v>27179</v>
      </c>
      <c r="E89" s="226">
        <f>P89/1000</f>
        <v>27178.54</v>
      </c>
      <c r="F89" s="316"/>
      <c r="G89" s="128">
        <f>+E89-D89</f>
        <v>-0.45999999999912689</v>
      </c>
      <c r="H89" s="129">
        <f>G89/D89*100</f>
        <v>-1.6924831671478967E-3</v>
      </c>
      <c r="I89" s="317" t="s">
        <v>434</v>
      </c>
      <c r="J89" s="305">
        <v>27178540</v>
      </c>
      <c r="K89" s="186" t="s">
        <v>159</v>
      </c>
      <c r="L89" s="186" t="s">
        <v>133</v>
      </c>
      <c r="M89" s="185">
        <v>1</v>
      </c>
      <c r="N89" s="186" t="s">
        <v>136</v>
      </c>
      <c r="O89" s="185" t="s">
        <v>148</v>
      </c>
      <c r="P89" s="305">
        <f>J89*M89</f>
        <v>27178540</v>
      </c>
      <c r="Q89" s="231" t="s">
        <v>159</v>
      </c>
      <c r="T89" s="74"/>
    </row>
    <row r="90" spans="1:27" ht="17.100000000000001" customHeight="1">
      <c r="A90" s="134"/>
      <c r="B90" s="146"/>
      <c r="C90" s="136" t="s">
        <v>394</v>
      </c>
      <c r="D90" s="148">
        <v>232004</v>
      </c>
      <c r="E90" s="149">
        <f>+P90/1000</f>
        <v>10542</v>
      </c>
      <c r="F90" s="174">
        <v>6500</v>
      </c>
      <c r="G90" s="170">
        <f>+E90-D90</f>
        <v>-221462</v>
      </c>
      <c r="H90" s="318">
        <f t="shared" si="2"/>
        <v>-95.456112825640943</v>
      </c>
      <c r="I90" s="142"/>
      <c r="J90" s="143"/>
      <c r="K90" s="144"/>
      <c r="L90" s="144"/>
      <c r="M90" s="145" t="s">
        <v>173</v>
      </c>
      <c r="N90" s="145"/>
      <c r="O90" s="145"/>
      <c r="P90" s="143">
        <f>SUM(P91:P93)</f>
        <v>10542000</v>
      </c>
      <c r="Q90" s="133" t="s">
        <v>159</v>
      </c>
      <c r="T90" s="74"/>
    </row>
    <row r="91" spans="1:27" ht="17.100000000000001" customHeight="1">
      <c r="A91" s="134"/>
      <c r="B91" s="146"/>
      <c r="C91" s="147"/>
      <c r="D91" s="148"/>
      <c r="E91" s="149"/>
      <c r="F91" s="176"/>
      <c r="G91" s="170"/>
      <c r="H91" s="318" t="e">
        <f t="shared" si="2"/>
        <v>#DIV/0!</v>
      </c>
      <c r="I91" s="153" t="s">
        <v>191</v>
      </c>
      <c r="J91" s="122">
        <v>4000000</v>
      </c>
      <c r="K91" s="155" t="s">
        <v>159</v>
      </c>
      <c r="L91" s="156" t="s">
        <v>133</v>
      </c>
      <c r="M91" s="155">
        <v>1</v>
      </c>
      <c r="N91" s="155" t="s">
        <v>136</v>
      </c>
      <c r="O91" s="172" t="s">
        <v>148</v>
      </c>
      <c r="P91" s="122">
        <f>J91*M91</f>
        <v>4000000</v>
      </c>
      <c r="Q91" s="157" t="s">
        <v>159</v>
      </c>
      <c r="T91" s="74"/>
    </row>
    <row r="92" spans="1:27" ht="17.100000000000001" customHeight="1">
      <c r="A92" s="134"/>
      <c r="B92" s="146"/>
      <c r="C92" s="147"/>
      <c r="D92" s="148"/>
      <c r="E92" s="149"/>
      <c r="F92" s="176"/>
      <c r="G92" s="170"/>
      <c r="H92" s="167"/>
      <c r="I92" s="159" t="s">
        <v>5</v>
      </c>
      <c r="J92" s="122">
        <v>0</v>
      </c>
      <c r="K92" s="155" t="s">
        <v>159</v>
      </c>
      <c r="L92" s="156" t="s">
        <v>133</v>
      </c>
      <c r="M92" s="155">
        <v>1</v>
      </c>
      <c r="N92" s="155" t="s">
        <v>136</v>
      </c>
      <c r="O92" s="172" t="s">
        <v>148</v>
      </c>
      <c r="P92" s="122">
        <f>J92*M92</f>
        <v>0</v>
      </c>
      <c r="Q92" s="157" t="s">
        <v>159</v>
      </c>
      <c r="T92" s="74"/>
    </row>
    <row r="93" spans="1:27" ht="15.95" customHeight="1">
      <c r="A93" s="319"/>
      <c r="B93" s="265"/>
      <c r="C93" s="266"/>
      <c r="D93" s="267"/>
      <c r="E93" s="320"/>
      <c r="F93" s="321"/>
      <c r="G93" s="270">
        <f>+E93-D93</f>
        <v>0</v>
      </c>
      <c r="H93" s="322" t="e">
        <f t="shared" si="2"/>
        <v>#DIV/0!</v>
      </c>
      <c r="I93" s="323" t="s">
        <v>394</v>
      </c>
      <c r="J93" s="324">
        <v>6542000</v>
      </c>
      <c r="K93" s="274" t="s">
        <v>159</v>
      </c>
      <c r="L93" s="275" t="s">
        <v>133</v>
      </c>
      <c r="M93" s="274">
        <v>1</v>
      </c>
      <c r="N93" s="274" t="s">
        <v>136</v>
      </c>
      <c r="O93" s="276" t="s">
        <v>148</v>
      </c>
      <c r="P93" s="324">
        <f>SUM(J93*M93)</f>
        <v>6542000</v>
      </c>
      <c r="Q93" s="277" t="s">
        <v>159</v>
      </c>
      <c r="T93" s="74"/>
      <c r="AA93" s="325"/>
    </row>
    <row r="94" spans="1:27">
      <c r="T94" s="74"/>
      <c r="AA94" s="325"/>
    </row>
    <row r="95" spans="1:27">
      <c r="T95" s="74"/>
      <c r="AA95" s="325"/>
    </row>
    <row r="96" spans="1:27">
      <c r="T96" s="74"/>
      <c r="AA96" s="325"/>
    </row>
    <row r="97" spans="1:27">
      <c r="T97" s="74"/>
      <c r="AA97" s="325"/>
    </row>
    <row r="98" spans="1:27">
      <c r="T98" s="74"/>
      <c r="AA98" s="325"/>
    </row>
    <row r="99" spans="1:27">
      <c r="T99" s="74"/>
      <c r="AA99" s="325"/>
    </row>
    <row r="100" spans="1:27">
      <c r="T100" s="74"/>
    </row>
    <row r="101" spans="1:27">
      <c r="T101" s="74"/>
    </row>
    <row r="102" spans="1:27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S102" s="73"/>
      <c r="T102" s="74"/>
    </row>
  </sheetData>
  <mergeCells count="135">
    <mergeCell ref="C76:C80"/>
    <mergeCell ref="D76:D80"/>
    <mergeCell ref="E76:E80"/>
    <mergeCell ref="G76:G80"/>
    <mergeCell ref="H76:H80"/>
    <mergeCell ref="M17:O17"/>
    <mergeCell ref="E19:E22"/>
    <mergeCell ref="G19:G22"/>
    <mergeCell ref="A6:C6"/>
    <mergeCell ref="H19:H22"/>
    <mergeCell ref="C9:C16"/>
    <mergeCell ref="D9:D16"/>
    <mergeCell ref="E9:E16"/>
    <mergeCell ref="F27:F30"/>
    <mergeCell ref="C27:C30"/>
    <mergeCell ref="D27:D30"/>
    <mergeCell ref="E27:E30"/>
    <mergeCell ref="G27:G30"/>
    <mergeCell ref="H27:H30"/>
    <mergeCell ref="C17:C18"/>
    <mergeCell ref="D17:D18"/>
    <mergeCell ref="E17:E18"/>
    <mergeCell ref="G17:G18"/>
    <mergeCell ref="H17:H18"/>
    <mergeCell ref="A1:Q1"/>
    <mergeCell ref="F33:F34"/>
    <mergeCell ref="D19:D22"/>
    <mergeCell ref="M9:O9"/>
    <mergeCell ref="E4:E5"/>
    <mergeCell ref="A4:A5"/>
    <mergeCell ref="B31:C31"/>
    <mergeCell ref="F4:F5"/>
    <mergeCell ref="B4:B5"/>
    <mergeCell ref="M27:O27"/>
    <mergeCell ref="H33:H34"/>
    <mergeCell ref="E23:E24"/>
    <mergeCell ref="G23:G24"/>
    <mergeCell ref="H23:H24"/>
    <mergeCell ref="E33:E34"/>
    <mergeCell ref="G33:G34"/>
    <mergeCell ref="C4:C5"/>
    <mergeCell ref="G4:H4"/>
    <mergeCell ref="C19:C22"/>
    <mergeCell ref="G9:G16"/>
    <mergeCell ref="H9:H16"/>
    <mergeCell ref="C33:C34"/>
    <mergeCell ref="I4:Q5"/>
    <mergeCell ref="B7:C7"/>
    <mergeCell ref="O3:Q3"/>
    <mergeCell ref="F19:F22"/>
    <mergeCell ref="D4:D5"/>
    <mergeCell ref="E48:E52"/>
    <mergeCell ref="C54:C55"/>
    <mergeCell ref="D54:D55"/>
    <mergeCell ref="E54:E55"/>
    <mergeCell ref="C39:C43"/>
    <mergeCell ref="B25:C25"/>
    <mergeCell ref="D33:D34"/>
    <mergeCell ref="B35:C35"/>
    <mergeCell ref="D37:D38"/>
    <mergeCell ref="E37:E38"/>
    <mergeCell ref="M19:O19"/>
    <mergeCell ref="I27:J27"/>
    <mergeCell ref="C37:C38"/>
    <mergeCell ref="C23:C24"/>
    <mergeCell ref="D23:D24"/>
    <mergeCell ref="M23:O23"/>
    <mergeCell ref="A3:B3"/>
    <mergeCell ref="G48:G52"/>
    <mergeCell ref="F39:F40"/>
    <mergeCell ref="G39:G43"/>
    <mergeCell ref="F44:F45"/>
    <mergeCell ref="M90:O90"/>
    <mergeCell ref="N87:O87"/>
    <mergeCell ref="N82:O82"/>
    <mergeCell ref="H90:H93"/>
    <mergeCell ref="B86:C86"/>
    <mergeCell ref="F90:F93"/>
    <mergeCell ref="B81:C81"/>
    <mergeCell ref="C90:C93"/>
    <mergeCell ref="F67:F69"/>
    <mergeCell ref="G90:G93"/>
    <mergeCell ref="G67:G69"/>
    <mergeCell ref="D90:D93"/>
    <mergeCell ref="E90:E93"/>
    <mergeCell ref="F76:F77"/>
    <mergeCell ref="M76:O76"/>
    <mergeCell ref="C70:C72"/>
    <mergeCell ref="D70:D72"/>
    <mergeCell ref="E70:E72"/>
    <mergeCell ref="F70:F72"/>
    <mergeCell ref="M70:O70"/>
    <mergeCell ref="C73:C75"/>
    <mergeCell ref="D73:D75"/>
    <mergeCell ref="E73:E75"/>
    <mergeCell ref="F73:F75"/>
    <mergeCell ref="R46:U46"/>
    <mergeCell ref="H56:H64"/>
    <mergeCell ref="M67:O67"/>
    <mergeCell ref="H67:H69"/>
    <mergeCell ref="M48:O48"/>
    <mergeCell ref="H48:H52"/>
    <mergeCell ref="F54:F55"/>
    <mergeCell ref="G54:G55"/>
    <mergeCell ref="G56:G64"/>
    <mergeCell ref="H54:H55"/>
    <mergeCell ref="M54:O54"/>
    <mergeCell ref="G44:G47"/>
    <mergeCell ref="H44:H47"/>
    <mergeCell ref="G73:G75"/>
    <mergeCell ref="H73:H75"/>
    <mergeCell ref="M73:O73"/>
    <mergeCell ref="M39:O39"/>
    <mergeCell ref="M44:O44"/>
    <mergeCell ref="H39:H43"/>
    <mergeCell ref="C67:C69"/>
    <mergeCell ref="B65:C65"/>
    <mergeCell ref="C48:C52"/>
    <mergeCell ref="D48:D52"/>
    <mergeCell ref="D39:D43"/>
    <mergeCell ref="D56:D64"/>
    <mergeCell ref="C56:C64"/>
    <mergeCell ref="E39:E43"/>
    <mergeCell ref="C44:C47"/>
    <mergeCell ref="D44:D47"/>
    <mergeCell ref="E44:E47"/>
    <mergeCell ref="G37:G38"/>
    <mergeCell ref="F56:F64"/>
    <mergeCell ref="D67:D69"/>
    <mergeCell ref="E67:E69"/>
    <mergeCell ref="G70:G72"/>
    <mergeCell ref="H70:H72"/>
    <mergeCell ref="H37:H38"/>
    <mergeCell ref="F37:F38"/>
    <mergeCell ref="E56:E64"/>
  </mergeCells>
  <phoneticPr fontId="6" type="noConversion"/>
  <printOptions horizontalCentered="1"/>
  <pageMargins left="0.19666667282581329" right="0.19666667282581329" top="0.59041666984558105" bottom="0.39347222447395325" header="0.39347222447395325" footer="0.19666667282581329"/>
  <pageSetup paperSize="9" scale="93" orientation="landscape" r:id="rId1"/>
  <headerFooter>
    <oddFooter>&amp;C&amp;"맑은 고딕,Regular"&amp;P</oddFooter>
  </headerFooter>
  <rowBreaks count="2" manualBreakCount="2">
    <brk id="34" max="1048575" man="1"/>
    <brk id="64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C331"/>
  <sheetViews>
    <sheetView tabSelected="1" view="pageBreakPreview" zoomScaleNormal="100" zoomScaleSheetLayoutView="100" workbookViewId="0">
      <pane ySplit="4" topLeftCell="A323" activePane="bottomLeft" state="frozen"/>
      <selection pane="bottomLeft" activeCell="R8" sqref="R8:R9"/>
    </sheetView>
  </sheetViews>
  <sheetFormatPr defaultColWidth="9" defaultRowHeight="17.25"/>
  <cols>
    <col min="1" max="1" width="6.625" style="326" customWidth="1"/>
    <col min="2" max="2" width="6.625" style="291" customWidth="1"/>
    <col min="3" max="3" width="12.75" style="291" customWidth="1"/>
    <col min="4" max="5" width="13.125" style="326" customWidth="1"/>
    <col min="6" max="6" width="13.125" style="326" hidden="1" customWidth="1"/>
    <col min="7" max="7" width="10.625" style="330" customWidth="1"/>
    <col min="8" max="8" width="9.625" style="331" customWidth="1"/>
    <col min="9" max="9" width="21.125" style="332" customWidth="1"/>
    <col min="10" max="10" width="12.75" style="122" customWidth="1"/>
    <col min="11" max="11" width="3.125" style="121" customWidth="1"/>
    <col min="12" max="12" width="3.125" style="155" customWidth="1"/>
    <col min="13" max="13" width="4.25" style="155" customWidth="1"/>
    <col min="14" max="15" width="3.125" style="155" customWidth="1"/>
    <col min="16" max="16" width="14.375" style="122" customWidth="1"/>
    <col min="17" max="17" width="2.625" style="121" customWidth="1"/>
    <col min="18" max="18" width="13.625" style="74" bestFit="1" customWidth="1"/>
    <col min="19" max="19" width="13.125" style="333" customWidth="1"/>
    <col min="20" max="20" width="12.625" style="333" customWidth="1"/>
    <col min="21" max="21" width="12.625" style="73" customWidth="1"/>
    <col min="22" max="16384" width="9" style="73"/>
  </cols>
  <sheetData>
    <row r="1" spans="1:20" ht="20.25">
      <c r="A1" s="329" t="s">
        <v>290</v>
      </c>
      <c r="B1" s="329"/>
    </row>
    <row r="2" spans="1:20" ht="12.75" customHeight="1">
      <c r="A2" s="334"/>
      <c r="B2" s="334"/>
      <c r="C2" s="77"/>
      <c r="D2" s="335"/>
      <c r="E2" s="335"/>
      <c r="F2" s="335"/>
      <c r="G2" s="336"/>
      <c r="H2" s="337"/>
      <c r="I2" s="77" t="s">
        <v>172</v>
      </c>
      <c r="J2" s="335"/>
      <c r="K2" s="77"/>
      <c r="L2" s="77"/>
      <c r="M2" s="77"/>
      <c r="N2" s="77"/>
      <c r="O2" s="80" t="s">
        <v>27</v>
      </c>
      <c r="P2" s="80"/>
      <c r="Q2" s="80"/>
    </row>
    <row r="3" spans="1:20" ht="17.25" customHeight="1">
      <c r="A3" s="81" t="s">
        <v>176</v>
      </c>
      <c r="B3" s="88" t="s">
        <v>135</v>
      </c>
      <c r="C3" s="338" t="s">
        <v>132</v>
      </c>
      <c r="D3" s="84" t="s">
        <v>449</v>
      </c>
      <c r="E3" s="84" t="s">
        <v>23</v>
      </c>
      <c r="F3" s="339" t="s">
        <v>199</v>
      </c>
      <c r="G3" s="340" t="s">
        <v>397</v>
      </c>
      <c r="H3" s="340"/>
      <c r="I3" s="338" t="s">
        <v>473</v>
      </c>
      <c r="J3" s="338"/>
      <c r="K3" s="338"/>
      <c r="L3" s="338"/>
      <c r="M3" s="338"/>
      <c r="N3" s="338"/>
      <c r="O3" s="338"/>
      <c r="P3" s="338"/>
      <c r="Q3" s="338"/>
    </row>
    <row r="4" spans="1:20" ht="20.25" customHeight="1">
      <c r="A4" s="89"/>
      <c r="B4" s="97"/>
      <c r="C4" s="341"/>
      <c r="D4" s="92"/>
      <c r="E4" s="92"/>
      <c r="F4" s="342"/>
      <c r="G4" s="343" t="s">
        <v>153</v>
      </c>
      <c r="H4" s="344" t="s">
        <v>184</v>
      </c>
      <c r="I4" s="341"/>
      <c r="J4" s="341"/>
      <c r="K4" s="341"/>
      <c r="L4" s="341"/>
      <c r="M4" s="341"/>
      <c r="N4" s="341"/>
      <c r="O4" s="341"/>
      <c r="P4" s="341"/>
      <c r="Q4" s="341"/>
    </row>
    <row r="5" spans="1:20" ht="19.5" customHeight="1">
      <c r="A5" s="98" t="s">
        <v>182</v>
      </c>
      <c r="B5" s="99"/>
      <c r="C5" s="100"/>
      <c r="D5" s="345">
        <f>SUM(D6,D77,D84,D213,D313,D309)</f>
        <v>9143391.9099230003</v>
      </c>
      <c r="E5" s="345">
        <f>SUM(E6,E77,E84,E213,E313,E309)</f>
        <v>8393196.6908950005</v>
      </c>
      <c r="F5" s="346" t="e">
        <f>SUM(F6,F77,F84,F213,#REF!,F313)</f>
        <v>#REF!</v>
      </c>
      <c r="G5" s="347">
        <f>+E5-D5</f>
        <v>-750195.21902799979</v>
      </c>
      <c r="H5" s="348">
        <f t="shared" ref="H5:H37" si="0">+G5/D5*100</f>
        <v>-8.2047803093055585</v>
      </c>
      <c r="I5" s="349"/>
      <c r="J5" s="105"/>
      <c r="K5" s="106"/>
      <c r="L5" s="106"/>
      <c r="M5" s="105"/>
      <c r="N5" s="105"/>
      <c r="O5" s="350"/>
      <c r="P5" s="351">
        <f>SUM(P6,P77,P84,P213,P309,P313)+1</f>
        <v>8393196691.8950005</v>
      </c>
      <c r="Q5" s="352" t="s">
        <v>159</v>
      </c>
    </row>
    <row r="6" spans="1:20" ht="20.100000000000001" customHeight="1">
      <c r="A6" s="109" t="s">
        <v>142</v>
      </c>
      <c r="B6" s="353" t="s">
        <v>179</v>
      </c>
      <c r="C6" s="354"/>
      <c r="D6" s="355">
        <f>SUM(D7,D36,D50)</f>
        <v>1415440</v>
      </c>
      <c r="E6" s="355">
        <f>SUM(E7,E36,E50)</f>
        <v>1500622.749845</v>
      </c>
      <c r="F6" s="356">
        <f>SUM(F7,F36,F50)</f>
        <v>869305</v>
      </c>
      <c r="G6" s="357">
        <f>+E6-D6</f>
        <v>85182.749844999984</v>
      </c>
      <c r="H6" s="358">
        <f t="shared" si="0"/>
        <v>6.0181109651415801</v>
      </c>
      <c r="I6" s="359"/>
      <c r="J6" s="360"/>
      <c r="K6" s="361"/>
      <c r="L6" s="362"/>
      <c r="M6" s="362"/>
      <c r="N6" s="362"/>
      <c r="O6" s="362"/>
      <c r="P6" s="363">
        <f>SUM(P7,P36,P50)</f>
        <v>1500622749.8450003</v>
      </c>
      <c r="Q6" s="364" t="s">
        <v>159</v>
      </c>
    </row>
    <row r="7" spans="1:20" ht="20.100000000000001" customHeight="1">
      <c r="A7" s="365"/>
      <c r="B7" s="242" t="s">
        <v>186</v>
      </c>
      <c r="C7" s="366" t="s">
        <v>180</v>
      </c>
      <c r="D7" s="367">
        <f>SUM(D8:D34)</f>
        <v>1014933</v>
      </c>
      <c r="E7" s="367">
        <f>SUM(E8:E34)</f>
        <v>1091923.50988</v>
      </c>
      <c r="F7" s="368">
        <f>SUM(F8:F34)-1</f>
        <v>582084</v>
      </c>
      <c r="G7" s="369">
        <f>+E7-D7</f>
        <v>76990.509880000027</v>
      </c>
      <c r="H7" s="370">
        <f t="shared" si="0"/>
        <v>7.5857726450908602</v>
      </c>
      <c r="I7" s="371"/>
      <c r="J7" s="372"/>
      <c r="K7" s="373"/>
      <c r="L7" s="374"/>
      <c r="M7" s="374"/>
      <c r="N7" s="374"/>
      <c r="O7" s="374"/>
      <c r="P7" s="372">
        <f>SUM(P8,P13,P22,P24,P30)</f>
        <v>1091923509.8800001</v>
      </c>
      <c r="Q7" s="231" t="s">
        <v>159</v>
      </c>
    </row>
    <row r="8" spans="1:20" ht="15.95" customHeight="1">
      <c r="A8" s="365"/>
      <c r="B8" s="146"/>
      <c r="C8" s="375" t="s">
        <v>170</v>
      </c>
      <c r="D8" s="376">
        <v>733409</v>
      </c>
      <c r="E8" s="377">
        <f>P8/1000</f>
        <v>793846</v>
      </c>
      <c r="F8" s="14">
        <v>351377</v>
      </c>
      <c r="G8" s="377">
        <f>E8-D8</f>
        <v>60437</v>
      </c>
      <c r="H8" s="378">
        <f t="shared" si="0"/>
        <v>8.2405588150677183</v>
      </c>
      <c r="I8" s="142"/>
      <c r="J8" s="143"/>
      <c r="K8" s="245"/>
      <c r="L8" s="144"/>
      <c r="M8" s="144" t="s">
        <v>173</v>
      </c>
      <c r="N8" s="144"/>
      <c r="O8" s="144"/>
      <c r="P8" s="143">
        <f>SUM(P9:P12)</f>
        <v>793846000</v>
      </c>
      <c r="Q8" s="133" t="s">
        <v>159</v>
      </c>
    </row>
    <row r="9" spans="1:20" ht="15.95" customHeight="1">
      <c r="A9" s="365"/>
      <c r="B9" s="146"/>
      <c r="C9" s="62"/>
      <c r="D9" s="379"/>
      <c r="E9" s="380"/>
      <c r="F9" s="15"/>
      <c r="G9" s="380"/>
      <c r="H9" s="381"/>
      <c r="I9" s="159" t="s">
        <v>188</v>
      </c>
      <c r="J9" s="372">
        <v>35276750</v>
      </c>
      <c r="K9" s="373" t="s">
        <v>159</v>
      </c>
      <c r="L9" s="382" t="s">
        <v>133</v>
      </c>
      <c r="M9" s="374">
        <v>12</v>
      </c>
      <c r="N9" s="374" t="s">
        <v>141</v>
      </c>
      <c r="O9" s="383" t="s">
        <v>148</v>
      </c>
      <c r="P9" s="384">
        <f>J9*M9</f>
        <v>423321000</v>
      </c>
      <c r="Q9" s="157" t="s">
        <v>159</v>
      </c>
    </row>
    <row r="10" spans="1:20" ht="15.95" customHeight="1">
      <c r="A10" s="365"/>
      <c r="B10" s="146"/>
      <c r="C10" s="62"/>
      <c r="D10" s="379"/>
      <c r="E10" s="380"/>
      <c r="F10" s="15"/>
      <c r="G10" s="380"/>
      <c r="H10" s="381"/>
      <c r="I10" s="159" t="s">
        <v>325</v>
      </c>
      <c r="J10" s="372">
        <v>31398000</v>
      </c>
      <c r="K10" s="373" t="s">
        <v>159</v>
      </c>
      <c r="L10" s="382" t="s">
        <v>133</v>
      </c>
      <c r="M10" s="374">
        <v>4.5</v>
      </c>
      <c r="N10" s="374" t="s">
        <v>136</v>
      </c>
      <c r="O10" s="383" t="s">
        <v>148</v>
      </c>
      <c r="P10" s="372">
        <f>J10*M10</f>
        <v>141291000</v>
      </c>
      <c r="Q10" s="157" t="s">
        <v>159</v>
      </c>
    </row>
    <row r="11" spans="1:20" ht="15.95" customHeight="1">
      <c r="A11" s="365"/>
      <c r="B11" s="146"/>
      <c r="C11" s="62"/>
      <c r="D11" s="379"/>
      <c r="E11" s="380"/>
      <c r="F11" s="385"/>
      <c r="G11" s="380"/>
      <c r="H11" s="381"/>
      <c r="I11" s="159" t="s">
        <v>209</v>
      </c>
      <c r="J11" s="372">
        <v>31637000</v>
      </c>
      <c r="K11" s="373" t="s">
        <v>159</v>
      </c>
      <c r="L11" s="382" t="s">
        <v>133</v>
      </c>
      <c r="M11" s="374">
        <v>2</v>
      </c>
      <c r="N11" s="374" t="s">
        <v>136</v>
      </c>
      <c r="O11" s="383" t="s">
        <v>148</v>
      </c>
      <c r="P11" s="372">
        <f>J11*M11</f>
        <v>63274000</v>
      </c>
      <c r="Q11" s="157" t="s">
        <v>159</v>
      </c>
    </row>
    <row r="12" spans="1:20" ht="15.95" customHeight="1">
      <c r="A12" s="365"/>
      <c r="B12" s="146"/>
      <c r="C12" s="386"/>
      <c r="D12" s="387"/>
      <c r="E12" s="388"/>
      <c r="F12" s="15"/>
      <c r="G12" s="388"/>
      <c r="H12" s="389"/>
      <c r="I12" s="153" t="s">
        <v>198</v>
      </c>
      <c r="J12" s="372">
        <v>13830000</v>
      </c>
      <c r="K12" s="373" t="s">
        <v>159</v>
      </c>
      <c r="L12" s="382" t="s">
        <v>133</v>
      </c>
      <c r="M12" s="374">
        <v>12</v>
      </c>
      <c r="N12" s="374" t="s">
        <v>141</v>
      </c>
      <c r="O12" s="383" t="s">
        <v>148</v>
      </c>
      <c r="P12" s="372">
        <f>J12*M12</f>
        <v>165960000</v>
      </c>
      <c r="Q12" s="157" t="s">
        <v>159</v>
      </c>
    </row>
    <row r="13" spans="1:20" s="121" customFormat="1" ht="15.95" customHeight="1">
      <c r="A13" s="134"/>
      <c r="B13" s="146"/>
      <c r="C13" s="375" t="s">
        <v>167</v>
      </c>
      <c r="D13" s="390">
        <v>100879</v>
      </c>
      <c r="E13" s="390">
        <f>+P13/1000</f>
        <v>104708.09987999999</v>
      </c>
      <c r="F13" s="46">
        <v>102644</v>
      </c>
      <c r="G13" s="377">
        <f>+E13-D13</f>
        <v>3829.0998799999943</v>
      </c>
      <c r="H13" s="391">
        <f t="shared" si="0"/>
        <v>3.7957353661316966</v>
      </c>
      <c r="I13" s="142"/>
      <c r="J13" s="143"/>
      <c r="K13" s="245"/>
      <c r="L13" s="144"/>
      <c r="M13" s="145" t="s">
        <v>173</v>
      </c>
      <c r="N13" s="145"/>
      <c r="O13" s="145"/>
      <c r="P13" s="143">
        <f>SUM(P14:P21)</f>
        <v>104708099.88</v>
      </c>
      <c r="Q13" s="133" t="s">
        <v>159</v>
      </c>
      <c r="R13" s="74"/>
      <c r="S13" s="333"/>
      <c r="T13" s="333"/>
    </row>
    <row r="14" spans="1:20" s="121" customFormat="1" ht="15.95" customHeight="1">
      <c r="A14" s="134"/>
      <c r="B14" s="146"/>
      <c r="C14" s="62"/>
      <c r="D14" s="392"/>
      <c r="E14" s="392"/>
      <c r="F14" s="47"/>
      <c r="G14" s="380"/>
      <c r="H14" s="393"/>
      <c r="I14" s="159" t="s">
        <v>171</v>
      </c>
      <c r="J14" s="372">
        <v>3144058.33</v>
      </c>
      <c r="K14" s="373" t="s">
        <v>159</v>
      </c>
      <c r="L14" s="382" t="s">
        <v>133</v>
      </c>
      <c r="M14" s="374">
        <v>12</v>
      </c>
      <c r="N14" s="374" t="s">
        <v>141</v>
      </c>
      <c r="O14" s="383" t="s">
        <v>148</v>
      </c>
      <c r="P14" s="372">
        <f>(J14*M14)</f>
        <v>37728699.960000001</v>
      </c>
      <c r="Q14" s="157" t="s">
        <v>159</v>
      </c>
      <c r="R14" s="74"/>
      <c r="S14" s="333"/>
      <c r="T14" s="333"/>
    </row>
    <row r="15" spans="1:20" s="121" customFormat="1" ht="15.95" customHeight="1">
      <c r="A15" s="134"/>
      <c r="B15" s="146"/>
      <c r="C15" s="62"/>
      <c r="D15" s="392"/>
      <c r="E15" s="392"/>
      <c r="F15" s="47"/>
      <c r="G15" s="380"/>
      <c r="H15" s="393"/>
      <c r="I15" s="159" t="s">
        <v>151</v>
      </c>
      <c r="J15" s="372">
        <v>730000</v>
      </c>
      <c r="K15" s="373" t="s">
        <v>159</v>
      </c>
      <c r="L15" s="382" t="s">
        <v>133</v>
      </c>
      <c r="M15" s="374">
        <v>12</v>
      </c>
      <c r="N15" s="374" t="s">
        <v>141</v>
      </c>
      <c r="O15" s="383" t="s">
        <v>148</v>
      </c>
      <c r="P15" s="372">
        <f t="shared" ref="P15:P21" si="1">(J15*M15)</f>
        <v>8760000</v>
      </c>
      <c r="Q15" s="157" t="s">
        <v>159</v>
      </c>
      <c r="R15" s="74"/>
      <c r="S15" s="333"/>
      <c r="T15" s="333"/>
    </row>
    <row r="16" spans="1:20" s="121" customFormat="1" ht="15.95" customHeight="1">
      <c r="A16" s="134"/>
      <c r="B16" s="146"/>
      <c r="C16" s="62"/>
      <c r="D16" s="392"/>
      <c r="E16" s="392"/>
      <c r="F16" s="47"/>
      <c r="G16" s="380"/>
      <c r="H16" s="393"/>
      <c r="I16" s="159" t="s">
        <v>181</v>
      </c>
      <c r="J16" s="372">
        <v>1501666.66</v>
      </c>
      <c r="K16" s="373" t="s">
        <v>159</v>
      </c>
      <c r="L16" s="382" t="s">
        <v>133</v>
      </c>
      <c r="M16" s="374">
        <v>12</v>
      </c>
      <c r="N16" s="374" t="s">
        <v>141</v>
      </c>
      <c r="O16" s="383" t="s">
        <v>148</v>
      </c>
      <c r="P16" s="372">
        <f t="shared" si="1"/>
        <v>18019999.919999998</v>
      </c>
      <c r="Q16" s="157" t="s">
        <v>159</v>
      </c>
      <c r="R16" s="74"/>
      <c r="S16" s="333"/>
      <c r="T16" s="333"/>
    </row>
    <row r="17" spans="1:20" s="121" customFormat="1" ht="15.95" customHeight="1">
      <c r="A17" s="134"/>
      <c r="B17" s="146"/>
      <c r="C17" s="62"/>
      <c r="D17" s="392"/>
      <c r="E17" s="392"/>
      <c r="F17" s="47"/>
      <c r="G17" s="380"/>
      <c r="H17" s="393"/>
      <c r="I17" s="159" t="s">
        <v>149</v>
      </c>
      <c r="J17" s="372">
        <v>1160000</v>
      </c>
      <c r="K17" s="373" t="s">
        <v>159</v>
      </c>
      <c r="L17" s="382" t="s">
        <v>133</v>
      </c>
      <c r="M17" s="374">
        <v>12</v>
      </c>
      <c r="N17" s="374" t="s">
        <v>141</v>
      </c>
      <c r="O17" s="383" t="s">
        <v>148</v>
      </c>
      <c r="P17" s="372">
        <f t="shared" si="1"/>
        <v>13920000</v>
      </c>
      <c r="Q17" s="157" t="s">
        <v>159</v>
      </c>
      <c r="R17" s="74"/>
      <c r="S17" s="333"/>
      <c r="T17" s="333"/>
    </row>
    <row r="18" spans="1:20" s="121" customFormat="1" ht="15.95" customHeight="1">
      <c r="A18" s="134"/>
      <c r="B18" s="146"/>
      <c r="C18" s="62"/>
      <c r="D18" s="392"/>
      <c r="E18" s="392"/>
      <c r="F18" s="47"/>
      <c r="G18" s="380"/>
      <c r="H18" s="393"/>
      <c r="I18" s="159" t="s">
        <v>175</v>
      </c>
      <c r="J18" s="372">
        <v>1500000</v>
      </c>
      <c r="K18" s="373" t="s">
        <v>159</v>
      </c>
      <c r="L18" s="382" t="s">
        <v>133</v>
      </c>
      <c r="M18" s="374">
        <v>12</v>
      </c>
      <c r="N18" s="374" t="s">
        <v>141</v>
      </c>
      <c r="O18" s="383" t="s">
        <v>148</v>
      </c>
      <c r="P18" s="372">
        <f t="shared" si="1"/>
        <v>18000000</v>
      </c>
      <c r="Q18" s="157" t="s">
        <v>159</v>
      </c>
      <c r="R18" s="74"/>
      <c r="S18" s="333"/>
      <c r="T18" s="333"/>
    </row>
    <row r="19" spans="1:20" s="121" customFormat="1" ht="15.95" customHeight="1">
      <c r="A19" s="134"/>
      <c r="B19" s="146"/>
      <c r="C19" s="62"/>
      <c r="D19" s="392"/>
      <c r="E19" s="392"/>
      <c r="F19" s="47"/>
      <c r="G19" s="380"/>
      <c r="H19" s="393"/>
      <c r="I19" s="159" t="s">
        <v>244</v>
      </c>
      <c r="J19" s="372">
        <v>100000</v>
      </c>
      <c r="K19" s="373" t="s">
        <v>159</v>
      </c>
      <c r="L19" s="382" t="s">
        <v>133</v>
      </c>
      <c r="M19" s="374">
        <v>12</v>
      </c>
      <c r="N19" s="374" t="s">
        <v>141</v>
      </c>
      <c r="O19" s="383" t="s">
        <v>148</v>
      </c>
      <c r="P19" s="372">
        <f t="shared" si="1"/>
        <v>1200000</v>
      </c>
      <c r="Q19" s="157" t="s">
        <v>159</v>
      </c>
      <c r="R19" s="74"/>
      <c r="S19" s="333"/>
      <c r="T19" s="333"/>
    </row>
    <row r="20" spans="1:20" s="121" customFormat="1" ht="15.95" customHeight="1">
      <c r="A20" s="134"/>
      <c r="B20" s="146"/>
      <c r="C20" s="62"/>
      <c r="D20" s="392"/>
      <c r="E20" s="392"/>
      <c r="F20" s="15"/>
      <c r="G20" s="380"/>
      <c r="H20" s="393"/>
      <c r="I20" s="394" t="s">
        <v>327</v>
      </c>
      <c r="J20" s="372">
        <v>279400</v>
      </c>
      <c r="K20" s="373" t="s">
        <v>159</v>
      </c>
      <c r="L20" s="382" t="s">
        <v>133</v>
      </c>
      <c r="M20" s="374">
        <v>1</v>
      </c>
      <c r="N20" s="374" t="s">
        <v>141</v>
      </c>
      <c r="O20" s="383" t="s">
        <v>148</v>
      </c>
      <c r="P20" s="372">
        <f>(J20*M20)</f>
        <v>279400</v>
      </c>
      <c r="Q20" s="157" t="s">
        <v>159</v>
      </c>
      <c r="R20" s="74"/>
      <c r="S20" s="333"/>
      <c r="T20" s="333"/>
    </row>
    <row r="21" spans="1:20" s="121" customFormat="1" ht="15.95" customHeight="1">
      <c r="A21" s="134"/>
      <c r="B21" s="146"/>
      <c r="C21" s="62"/>
      <c r="D21" s="392"/>
      <c r="E21" s="392"/>
      <c r="F21" s="15"/>
      <c r="G21" s="380"/>
      <c r="H21" s="393"/>
      <c r="I21" s="395" t="s">
        <v>96</v>
      </c>
      <c r="J21" s="372">
        <v>3400000</v>
      </c>
      <c r="K21" s="373" t="s">
        <v>159</v>
      </c>
      <c r="L21" s="382" t="s">
        <v>133</v>
      </c>
      <c r="M21" s="374">
        <v>2</v>
      </c>
      <c r="N21" s="374" t="s">
        <v>136</v>
      </c>
      <c r="O21" s="383" t="s">
        <v>148</v>
      </c>
      <c r="P21" s="372">
        <f t="shared" si="1"/>
        <v>6800000</v>
      </c>
      <c r="Q21" s="157" t="s">
        <v>159</v>
      </c>
      <c r="R21" s="74"/>
      <c r="S21" s="333"/>
      <c r="T21" s="333"/>
    </row>
    <row r="22" spans="1:20" s="121" customFormat="1" ht="15.95" customHeight="1">
      <c r="A22" s="134"/>
      <c r="B22" s="146"/>
      <c r="C22" s="375" t="s">
        <v>260</v>
      </c>
      <c r="D22" s="390">
        <v>70396</v>
      </c>
      <c r="E22" s="390">
        <f>(+P22/1000)</f>
        <v>74819.41</v>
      </c>
      <c r="F22" s="46">
        <v>48032</v>
      </c>
      <c r="G22" s="377">
        <f>E22-D22</f>
        <v>4423.4100000000035</v>
      </c>
      <c r="H22" s="391">
        <f t="shared" si="0"/>
        <v>6.2836098641968343</v>
      </c>
      <c r="I22" s="396"/>
      <c r="J22" s="143"/>
      <c r="K22" s="245"/>
      <c r="L22" s="245"/>
      <c r="M22" s="145" t="s">
        <v>173</v>
      </c>
      <c r="N22" s="145"/>
      <c r="O22" s="145"/>
      <c r="P22" s="143">
        <f>SUM(P23:P23)</f>
        <v>74819410</v>
      </c>
      <c r="Q22" s="133" t="s">
        <v>159</v>
      </c>
      <c r="R22" s="74"/>
      <c r="S22" s="333"/>
      <c r="T22" s="333"/>
    </row>
    <row r="23" spans="1:20" s="121" customFormat="1" ht="15.95" customHeight="1">
      <c r="A23" s="134"/>
      <c r="B23" s="146"/>
      <c r="C23" s="386"/>
      <c r="D23" s="397"/>
      <c r="E23" s="397"/>
      <c r="F23" s="398"/>
      <c r="G23" s="388">
        <f t="shared" ref="G23:G30" si="2">+E23-D23</f>
        <v>0</v>
      </c>
      <c r="H23" s="399" t="e">
        <f t="shared" si="0"/>
        <v>#DIV/0!</v>
      </c>
      <c r="I23" s="159" t="s">
        <v>260</v>
      </c>
      <c r="J23" s="372">
        <f>SUM(P8,P13,P33)-P18-P12</f>
        <v>724794099.88</v>
      </c>
      <c r="K23" s="400" t="s">
        <v>159</v>
      </c>
      <c r="L23" s="374" t="s">
        <v>161</v>
      </c>
      <c r="M23" s="374">
        <v>12</v>
      </c>
      <c r="N23" s="374"/>
      <c r="O23" s="383" t="s">
        <v>148</v>
      </c>
      <c r="P23" s="372">
        <f>ROUND(J23/12,-1)+11542400+2877430+70</f>
        <v>74819410</v>
      </c>
      <c r="Q23" s="157" t="s">
        <v>159</v>
      </c>
      <c r="R23" s="74"/>
      <c r="S23" s="333"/>
      <c r="T23" s="333"/>
    </row>
    <row r="24" spans="1:20" s="121" customFormat="1" ht="15.95" customHeight="1">
      <c r="A24" s="134"/>
      <c r="B24" s="146"/>
      <c r="C24" s="401" t="s">
        <v>46</v>
      </c>
      <c r="D24" s="402">
        <v>88349</v>
      </c>
      <c r="E24" s="402">
        <f>+P24/1000</f>
        <v>94800</v>
      </c>
      <c r="F24" s="51">
        <v>55737</v>
      </c>
      <c r="G24" s="403">
        <f t="shared" si="2"/>
        <v>6451</v>
      </c>
      <c r="H24" s="404">
        <f t="shared" si="0"/>
        <v>7.3017238452048137</v>
      </c>
      <c r="I24" s="396"/>
      <c r="J24" s="143"/>
      <c r="K24" s="245"/>
      <c r="L24" s="144"/>
      <c r="M24" s="145" t="s">
        <v>173</v>
      </c>
      <c r="N24" s="145"/>
      <c r="O24" s="145"/>
      <c r="P24" s="143">
        <f>SUM(P25:P29)</f>
        <v>94800000</v>
      </c>
      <c r="Q24" s="133" t="s">
        <v>159</v>
      </c>
      <c r="R24" s="74"/>
      <c r="S24" s="333"/>
      <c r="T24" s="333"/>
    </row>
    <row r="25" spans="1:20" s="121" customFormat="1" ht="15.95" customHeight="1">
      <c r="A25" s="134"/>
      <c r="B25" s="146"/>
      <c r="C25" s="401"/>
      <c r="D25" s="402"/>
      <c r="E25" s="402"/>
      <c r="F25" s="51"/>
      <c r="G25" s="403">
        <f t="shared" si="2"/>
        <v>0</v>
      </c>
      <c r="H25" s="404" t="e">
        <f t="shared" si="0"/>
        <v>#DIV/0!</v>
      </c>
      <c r="I25" s="395" t="s">
        <v>218</v>
      </c>
      <c r="J25" s="372">
        <f>SUM(P8,P13,P33)-P18</f>
        <v>890754099.88</v>
      </c>
      <c r="K25" s="373" t="s">
        <v>159</v>
      </c>
      <c r="L25" s="382" t="s">
        <v>133</v>
      </c>
      <c r="M25" s="405">
        <v>4.4999999999999998E-2</v>
      </c>
      <c r="N25" s="405"/>
      <c r="O25" s="383" t="s">
        <v>148</v>
      </c>
      <c r="P25" s="372">
        <f>ROUNDUP(SUM(J25*M25),-3)</f>
        <v>40084000</v>
      </c>
      <c r="Q25" s="157" t="s">
        <v>159</v>
      </c>
      <c r="R25" s="122"/>
      <c r="S25" s="333"/>
      <c r="T25" s="333"/>
    </row>
    <row r="26" spans="1:20" s="121" customFormat="1" ht="15.95" customHeight="1">
      <c r="A26" s="134"/>
      <c r="B26" s="146"/>
      <c r="C26" s="401"/>
      <c r="D26" s="402"/>
      <c r="E26" s="402"/>
      <c r="F26" s="51"/>
      <c r="G26" s="403">
        <f t="shared" si="2"/>
        <v>0</v>
      </c>
      <c r="H26" s="404" t="e">
        <f t="shared" si="0"/>
        <v>#DIV/0!</v>
      </c>
      <c r="I26" s="395" t="s">
        <v>267</v>
      </c>
      <c r="J26" s="372">
        <f>+J25</f>
        <v>890754099.88</v>
      </c>
      <c r="K26" s="373" t="s">
        <v>159</v>
      </c>
      <c r="L26" s="382" t="s">
        <v>133</v>
      </c>
      <c r="M26" s="406">
        <v>3.5450000000000002E-2</v>
      </c>
      <c r="N26" s="406"/>
      <c r="O26" s="374" t="s">
        <v>148</v>
      </c>
      <c r="P26" s="372">
        <f>ROUNDUP(SUM(J26*M26),-3)</f>
        <v>31578000</v>
      </c>
      <c r="Q26" s="157" t="s">
        <v>159</v>
      </c>
      <c r="R26" s="122" t="s">
        <v>187</v>
      </c>
      <c r="S26" s="333"/>
      <c r="T26" s="333"/>
    </row>
    <row r="27" spans="1:20" s="121" customFormat="1" ht="15.95" customHeight="1">
      <c r="A27" s="134"/>
      <c r="B27" s="146"/>
      <c r="C27" s="401"/>
      <c r="D27" s="402"/>
      <c r="E27" s="402"/>
      <c r="F27" s="51"/>
      <c r="G27" s="403">
        <f t="shared" si="2"/>
        <v>0</v>
      </c>
      <c r="H27" s="404" t="e">
        <f t="shared" si="0"/>
        <v>#DIV/0!</v>
      </c>
      <c r="I27" s="395" t="s">
        <v>269</v>
      </c>
      <c r="J27" s="372">
        <f>+P26</f>
        <v>31578000</v>
      </c>
      <c r="K27" s="373" t="s">
        <v>159</v>
      </c>
      <c r="L27" s="382" t="s">
        <v>133</v>
      </c>
      <c r="M27" s="406">
        <v>0.12809999999999999</v>
      </c>
      <c r="N27" s="406"/>
      <c r="O27" s="374" t="s">
        <v>148</v>
      </c>
      <c r="P27" s="372">
        <f>ROUNDUP(SUM(J27*M27),-3)</f>
        <v>4046000</v>
      </c>
      <c r="Q27" s="157" t="s">
        <v>159</v>
      </c>
      <c r="R27" s="122"/>
      <c r="S27" s="333"/>
      <c r="T27" s="333"/>
    </row>
    <row r="28" spans="1:20" s="121" customFormat="1" ht="15.95" customHeight="1">
      <c r="A28" s="134"/>
      <c r="B28" s="146"/>
      <c r="C28" s="401"/>
      <c r="D28" s="402"/>
      <c r="E28" s="402"/>
      <c r="F28" s="51"/>
      <c r="G28" s="403">
        <f t="shared" si="2"/>
        <v>0</v>
      </c>
      <c r="H28" s="404" t="e">
        <f t="shared" si="0"/>
        <v>#DIV/0!</v>
      </c>
      <c r="I28" s="395" t="s">
        <v>259</v>
      </c>
      <c r="J28" s="372">
        <v>767941200</v>
      </c>
      <c r="K28" s="373" t="s">
        <v>159</v>
      </c>
      <c r="L28" s="382" t="s">
        <v>133</v>
      </c>
      <c r="M28" s="406">
        <v>1.7500000000000002E-2</v>
      </c>
      <c r="N28" s="406"/>
      <c r="O28" s="374" t="s">
        <v>148</v>
      </c>
      <c r="P28" s="372">
        <f>ROUNDUP(SUM(J28*M28),-3)</f>
        <v>13439000</v>
      </c>
      <c r="Q28" s="157" t="s">
        <v>159</v>
      </c>
      <c r="R28" s="122"/>
      <c r="S28" s="333"/>
      <c r="T28" s="333"/>
    </row>
    <row r="29" spans="1:20" s="121" customFormat="1" ht="15.95" customHeight="1">
      <c r="A29" s="134"/>
      <c r="B29" s="146"/>
      <c r="C29" s="401"/>
      <c r="D29" s="402"/>
      <c r="E29" s="402"/>
      <c r="F29" s="51"/>
      <c r="G29" s="403">
        <f t="shared" si="2"/>
        <v>0</v>
      </c>
      <c r="H29" s="404" t="e">
        <f t="shared" si="0"/>
        <v>#DIV/0!</v>
      </c>
      <c r="I29" s="407" t="s">
        <v>228</v>
      </c>
      <c r="J29" s="165">
        <v>767941200</v>
      </c>
      <c r="K29" s="408" t="s">
        <v>159</v>
      </c>
      <c r="L29" s="258" t="s">
        <v>133</v>
      </c>
      <c r="M29" s="409">
        <v>7.3600000000000002E-3</v>
      </c>
      <c r="N29" s="409"/>
      <c r="O29" s="257" t="s">
        <v>148</v>
      </c>
      <c r="P29" s="372">
        <f>ROUNDUP(SUM(J29*M29),-3)</f>
        <v>5653000</v>
      </c>
      <c r="Q29" s="260" t="s">
        <v>159</v>
      </c>
      <c r="R29" s="122"/>
      <c r="S29" s="333"/>
      <c r="T29" s="333"/>
    </row>
    <row r="30" spans="1:20" s="121" customFormat="1" ht="15.95" customHeight="1">
      <c r="A30" s="134" t="s">
        <v>172</v>
      </c>
      <c r="B30" s="146"/>
      <c r="C30" s="375" t="s">
        <v>345</v>
      </c>
      <c r="D30" s="390">
        <v>21900</v>
      </c>
      <c r="E30" s="390">
        <f>+P30/1000</f>
        <v>23750</v>
      </c>
      <c r="F30" s="51">
        <v>24295</v>
      </c>
      <c r="G30" s="377">
        <f t="shared" si="2"/>
        <v>1850</v>
      </c>
      <c r="H30" s="391">
        <f t="shared" si="0"/>
        <v>8.4474885844748862</v>
      </c>
      <c r="I30" s="396"/>
      <c r="J30" s="143"/>
      <c r="K30" s="245"/>
      <c r="L30" s="144"/>
      <c r="M30" s="144" t="s">
        <v>173</v>
      </c>
      <c r="N30" s="144"/>
      <c r="O30" s="144"/>
      <c r="P30" s="143">
        <f>SUM(P31:P35)</f>
        <v>23750000</v>
      </c>
      <c r="Q30" s="133" t="s">
        <v>159</v>
      </c>
      <c r="R30" s="122"/>
      <c r="S30" s="333"/>
      <c r="T30" s="333"/>
    </row>
    <row r="31" spans="1:20" s="121" customFormat="1" ht="15.95" customHeight="1">
      <c r="A31" s="134"/>
      <c r="B31" s="146"/>
      <c r="C31" s="62"/>
      <c r="D31" s="392"/>
      <c r="E31" s="392"/>
      <c r="F31" s="51"/>
      <c r="G31" s="380"/>
      <c r="H31" s="393"/>
      <c r="I31" s="395" t="s">
        <v>268</v>
      </c>
      <c r="J31" s="372">
        <v>600000</v>
      </c>
      <c r="K31" s="373" t="s">
        <v>159</v>
      </c>
      <c r="L31" s="382" t="s">
        <v>133</v>
      </c>
      <c r="M31" s="374">
        <v>15</v>
      </c>
      <c r="N31" s="374" t="s">
        <v>157</v>
      </c>
      <c r="O31" s="383" t="s">
        <v>148</v>
      </c>
      <c r="P31" s="372">
        <f>+J31*M31</f>
        <v>9000000</v>
      </c>
      <c r="Q31" s="157" t="s">
        <v>159</v>
      </c>
      <c r="R31" s="122"/>
      <c r="S31" s="333"/>
      <c r="T31" s="333"/>
    </row>
    <row r="32" spans="1:20" s="121" customFormat="1" ht="15.95" customHeight="1">
      <c r="A32" s="134"/>
      <c r="B32" s="146"/>
      <c r="C32" s="62"/>
      <c r="D32" s="392"/>
      <c r="E32" s="392"/>
      <c r="F32" s="51"/>
      <c r="G32" s="380"/>
      <c r="H32" s="393"/>
      <c r="I32" s="395" t="s">
        <v>378</v>
      </c>
      <c r="J32" s="372">
        <v>50000</v>
      </c>
      <c r="K32" s="373" t="s">
        <v>159</v>
      </c>
      <c r="L32" s="382" t="s">
        <v>133</v>
      </c>
      <c r="M32" s="374">
        <v>4</v>
      </c>
      <c r="N32" s="374" t="s">
        <v>136</v>
      </c>
      <c r="O32" s="383" t="s">
        <v>148</v>
      </c>
      <c r="P32" s="372">
        <f>+J32*M32</f>
        <v>200000</v>
      </c>
      <c r="Q32" s="157" t="s">
        <v>159</v>
      </c>
      <c r="R32" s="122"/>
      <c r="S32" s="333"/>
      <c r="T32" s="333"/>
    </row>
    <row r="33" spans="1:20" s="121" customFormat="1" ht="15.95" customHeight="1">
      <c r="A33" s="134"/>
      <c r="B33" s="146"/>
      <c r="C33" s="62"/>
      <c r="D33" s="392"/>
      <c r="E33" s="392"/>
      <c r="F33" s="51"/>
      <c r="G33" s="380"/>
      <c r="H33" s="393"/>
      <c r="I33" s="395" t="s">
        <v>420</v>
      </c>
      <c r="J33" s="372">
        <v>3400000</v>
      </c>
      <c r="K33" s="373" t="s">
        <v>159</v>
      </c>
      <c r="L33" s="382" t="s">
        <v>133</v>
      </c>
      <c r="M33" s="374">
        <v>3</v>
      </c>
      <c r="N33" s="374" t="s">
        <v>136</v>
      </c>
      <c r="O33" s="383" t="s">
        <v>148</v>
      </c>
      <c r="P33" s="372">
        <f>+J33*M33</f>
        <v>10200000</v>
      </c>
      <c r="Q33" s="157" t="s">
        <v>159</v>
      </c>
      <c r="R33" s="122"/>
      <c r="S33" s="333"/>
      <c r="T33" s="333"/>
    </row>
    <row r="34" spans="1:20" s="121" customFormat="1" ht="15.95" customHeight="1">
      <c r="A34" s="134"/>
      <c r="B34" s="146"/>
      <c r="C34" s="62"/>
      <c r="D34" s="392"/>
      <c r="E34" s="392"/>
      <c r="F34" s="410"/>
      <c r="G34" s="380"/>
      <c r="H34" s="393"/>
      <c r="I34" s="411" t="s">
        <v>196</v>
      </c>
      <c r="J34" s="372">
        <v>1250000</v>
      </c>
      <c r="K34" s="373" t="s">
        <v>159</v>
      </c>
      <c r="L34" s="382" t="s">
        <v>133</v>
      </c>
      <c r="M34" s="374">
        <v>3</v>
      </c>
      <c r="N34" s="374" t="s">
        <v>136</v>
      </c>
      <c r="O34" s="383" t="s">
        <v>148</v>
      </c>
      <c r="P34" s="372">
        <f>+J34*M34</f>
        <v>3750000</v>
      </c>
      <c r="Q34" s="157" t="s">
        <v>159</v>
      </c>
      <c r="R34" s="122"/>
      <c r="S34" s="333"/>
      <c r="T34" s="333"/>
    </row>
    <row r="35" spans="1:20" s="121" customFormat="1" ht="15.95" customHeight="1">
      <c r="A35" s="134"/>
      <c r="B35" s="285"/>
      <c r="C35" s="386"/>
      <c r="D35" s="397"/>
      <c r="E35" s="397"/>
      <c r="F35" s="385"/>
      <c r="G35" s="388"/>
      <c r="H35" s="399"/>
      <c r="I35" s="407" t="s">
        <v>264</v>
      </c>
      <c r="J35" s="165">
        <v>300000</v>
      </c>
      <c r="K35" s="408" t="s">
        <v>159</v>
      </c>
      <c r="L35" s="258" t="s">
        <v>133</v>
      </c>
      <c r="M35" s="257">
        <v>2</v>
      </c>
      <c r="N35" s="257" t="s">
        <v>136</v>
      </c>
      <c r="O35" s="259" t="s">
        <v>148</v>
      </c>
      <c r="P35" s="165">
        <f>+J35*M35</f>
        <v>600000</v>
      </c>
      <c r="Q35" s="260" t="s">
        <v>159</v>
      </c>
      <c r="R35" s="122"/>
      <c r="S35" s="333"/>
      <c r="T35" s="333"/>
    </row>
    <row r="36" spans="1:20" s="121" customFormat="1" ht="20.100000000000001" customHeight="1">
      <c r="A36" s="109" t="s">
        <v>142</v>
      </c>
      <c r="B36" s="412" t="s">
        <v>147</v>
      </c>
      <c r="C36" s="366" t="s">
        <v>180</v>
      </c>
      <c r="D36" s="367">
        <f>SUM(D37,D41,D44)</f>
        <v>13600</v>
      </c>
      <c r="E36" s="367">
        <f>SUM(E37:E49)</f>
        <v>14560</v>
      </c>
      <c r="F36" s="368">
        <f>SUM(F37,F44)</f>
        <v>12549</v>
      </c>
      <c r="G36" s="369">
        <f>+E36-D36</f>
        <v>960</v>
      </c>
      <c r="H36" s="370">
        <f t="shared" si="0"/>
        <v>7.0588235294117645</v>
      </c>
      <c r="I36" s="413"/>
      <c r="J36" s="372"/>
      <c r="K36" s="373"/>
      <c r="L36" s="374"/>
      <c r="M36" s="374"/>
      <c r="N36" s="374"/>
      <c r="O36" s="374"/>
      <c r="P36" s="372">
        <f>SUM(P37,P41,P44)</f>
        <v>14560000</v>
      </c>
      <c r="Q36" s="157" t="s">
        <v>159</v>
      </c>
      <c r="R36" s="122"/>
      <c r="S36" s="333"/>
      <c r="T36" s="333"/>
    </row>
    <row r="37" spans="1:20" s="121" customFormat="1" ht="15.95" customHeight="1">
      <c r="A37" s="134"/>
      <c r="B37" s="242" t="s">
        <v>154</v>
      </c>
      <c r="C37" s="375" t="s">
        <v>375</v>
      </c>
      <c r="D37" s="390">
        <v>1800</v>
      </c>
      <c r="E37" s="390">
        <f>+P37/1000</f>
        <v>2300</v>
      </c>
      <c r="F37" s="46">
        <v>9823</v>
      </c>
      <c r="G37" s="377">
        <f>+E37-D37</f>
        <v>500</v>
      </c>
      <c r="H37" s="378">
        <f t="shared" si="0"/>
        <v>27.777777777777779</v>
      </c>
      <c r="I37" s="414"/>
      <c r="J37" s="143"/>
      <c r="K37" s="245"/>
      <c r="L37" s="144"/>
      <c r="M37" s="145" t="s">
        <v>173</v>
      </c>
      <c r="N37" s="145"/>
      <c r="O37" s="145"/>
      <c r="P37" s="143">
        <f>SUM(P38:P40)</f>
        <v>2300000</v>
      </c>
      <c r="Q37" s="133" t="s">
        <v>159</v>
      </c>
      <c r="R37" s="122"/>
      <c r="S37" s="333"/>
      <c r="T37" s="333"/>
    </row>
    <row r="38" spans="1:20" s="121" customFormat="1" ht="15.95" customHeight="1">
      <c r="A38" s="134"/>
      <c r="B38" s="146"/>
      <c r="C38" s="62"/>
      <c r="D38" s="392"/>
      <c r="E38" s="392"/>
      <c r="F38" s="47"/>
      <c r="G38" s="380"/>
      <c r="H38" s="381"/>
      <c r="I38" s="394" t="s">
        <v>366</v>
      </c>
      <c r="J38" s="372">
        <v>70000</v>
      </c>
      <c r="K38" s="373" t="s">
        <v>159</v>
      </c>
      <c r="L38" s="382" t="s">
        <v>133</v>
      </c>
      <c r="M38" s="374">
        <v>10</v>
      </c>
      <c r="N38" s="374" t="s">
        <v>136</v>
      </c>
      <c r="O38" s="383" t="s">
        <v>148</v>
      </c>
      <c r="P38" s="372">
        <f>SUM(J38*M38)</f>
        <v>700000</v>
      </c>
      <c r="Q38" s="157" t="s">
        <v>159</v>
      </c>
      <c r="R38" s="122"/>
      <c r="S38" s="333"/>
      <c r="T38" s="333"/>
    </row>
    <row r="39" spans="1:20" s="121" customFormat="1" ht="15.95" customHeight="1">
      <c r="A39" s="134"/>
      <c r="B39" s="146"/>
      <c r="C39" s="62"/>
      <c r="D39" s="392"/>
      <c r="E39" s="392"/>
      <c r="F39" s="398"/>
      <c r="G39" s="380"/>
      <c r="H39" s="381"/>
      <c r="I39" s="395" t="s">
        <v>216</v>
      </c>
      <c r="J39" s="372">
        <v>20000</v>
      </c>
      <c r="K39" s="373" t="s">
        <v>159</v>
      </c>
      <c r="L39" s="382" t="s">
        <v>133</v>
      </c>
      <c r="M39" s="374">
        <v>5</v>
      </c>
      <c r="N39" s="374" t="s">
        <v>136</v>
      </c>
      <c r="O39" s="383" t="s">
        <v>148</v>
      </c>
      <c r="P39" s="372">
        <f>SUM(J39*M39)</f>
        <v>100000</v>
      </c>
      <c r="Q39" s="157" t="s">
        <v>159</v>
      </c>
      <c r="R39" s="122"/>
      <c r="S39" s="333"/>
      <c r="T39" s="333"/>
    </row>
    <row r="40" spans="1:20" s="121" customFormat="1" ht="15.95" customHeight="1">
      <c r="A40" s="415"/>
      <c r="B40" s="146"/>
      <c r="C40" s="386"/>
      <c r="D40" s="397"/>
      <c r="E40" s="397"/>
      <c r="F40" s="15"/>
      <c r="G40" s="388"/>
      <c r="H40" s="389"/>
      <c r="I40" s="407" t="s">
        <v>417</v>
      </c>
      <c r="J40" s="372">
        <v>100000</v>
      </c>
      <c r="K40" s="373" t="s">
        <v>159</v>
      </c>
      <c r="L40" s="382" t="s">
        <v>133</v>
      </c>
      <c r="M40" s="374">
        <v>15</v>
      </c>
      <c r="N40" s="374" t="s">
        <v>136</v>
      </c>
      <c r="O40" s="383" t="s">
        <v>148</v>
      </c>
      <c r="P40" s="372">
        <f>SUM(J40*M40)</f>
        <v>1500000</v>
      </c>
      <c r="Q40" s="157" t="s">
        <v>159</v>
      </c>
      <c r="R40" s="122"/>
      <c r="S40" s="333"/>
      <c r="T40" s="333"/>
    </row>
    <row r="41" spans="1:20" s="121" customFormat="1" ht="15.95" customHeight="1">
      <c r="A41" s="416"/>
      <c r="B41" s="242"/>
      <c r="C41" s="375" t="s">
        <v>359</v>
      </c>
      <c r="D41" s="390">
        <v>1800</v>
      </c>
      <c r="E41" s="390">
        <f>P41/1000</f>
        <v>1800</v>
      </c>
      <c r="F41" s="14"/>
      <c r="G41" s="377">
        <f>E41-D41</f>
        <v>0</v>
      </c>
      <c r="H41" s="391">
        <f>G41/D41*100</f>
        <v>0</v>
      </c>
      <c r="I41" s="417"/>
      <c r="J41" s="143"/>
      <c r="K41" s="245"/>
      <c r="L41" s="144"/>
      <c r="M41" s="145" t="s">
        <v>173</v>
      </c>
      <c r="N41" s="145"/>
      <c r="O41" s="145"/>
      <c r="P41" s="143">
        <f>SUM(P42:P43)</f>
        <v>1800000</v>
      </c>
      <c r="Q41" s="133" t="s">
        <v>159</v>
      </c>
      <c r="R41" s="122"/>
      <c r="S41" s="333"/>
      <c r="T41" s="333"/>
    </row>
    <row r="42" spans="1:20" s="121" customFormat="1" ht="15.95" customHeight="1">
      <c r="A42" s="134"/>
      <c r="B42" s="242"/>
      <c r="C42" s="62"/>
      <c r="D42" s="392"/>
      <c r="E42" s="392"/>
      <c r="F42" s="15"/>
      <c r="G42" s="380"/>
      <c r="H42" s="393"/>
      <c r="I42" s="394" t="s">
        <v>14</v>
      </c>
      <c r="J42" s="372">
        <v>250000</v>
      </c>
      <c r="K42" s="373" t="s">
        <v>159</v>
      </c>
      <c r="L42" s="382" t="s">
        <v>133</v>
      </c>
      <c r="M42" s="374">
        <v>4</v>
      </c>
      <c r="N42" s="374" t="s">
        <v>136</v>
      </c>
      <c r="O42" s="383" t="s">
        <v>148</v>
      </c>
      <c r="P42" s="372">
        <f>SUM(J42*M42)</f>
        <v>1000000</v>
      </c>
      <c r="Q42" s="157" t="s">
        <v>159</v>
      </c>
      <c r="R42" s="122"/>
      <c r="S42" s="333"/>
      <c r="T42" s="333"/>
    </row>
    <row r="43" spans="1:20" s="121" customFormat="1" ht="15.95" customHeight="1">
      <c r="A43" s="134"/>
      <c r="B43" s="146"/>
      <c r="C43" s="386"/>
      <c r="D43" s="397"/>
      <c r="E43" s="397"/>
      <c r="F43" s="15"/>
      <c r="G43" s="388"/>
      <c r="H43" s="399"/>
      <c r="I43" s="394" t="s">
        <v>0</v>
      </c>
      <c r="J43" s="372">
        <v>200000</v>
      </c>
      <c r="K43" s="373" t="s">
        <v>159</v>
      </c>
      <c r="L43" s="382" t="s">
        <v>133</v>
      </c>
      <c r="M43" s="374">
        <v>4</v>
      </c>
      <c r="N43" s="374" t="s">
        <v>136</v>
      </c>
      <c r="O43" s="383" t="s">
        <v>148</v>
      </c>
      <c r="P43" s="372">
        <f>SUM(J43*M43)</f>
        <v>800000</v>
      </c>
      <c r="Q43" s="157" t="s">
        <v>159</v>
      </c>
      <c r="R43" s="122"/>
      <c r="S43" s="333"/>
      <c r="T43" s="333"/>
    </row>
    <row r="44" spans="1:20" s="121" customFormat="1" ht="15.95" customHeight="1">
      <c r="A44" s="134"/>
      <c r="B44" s="146"/>
      <c r="C44" s="418" t="s">
        <v>139</v>
      </c>
      <c r="D44" s="390">
        <v>10000</v>
      </c>
      <c r="E44" s="390">
        <f>+P44/1000</f>
        <v>10460</v>
      </c>
      <c r="F44" s="46">
        <v>2726</v>
      </c>
      <c r="G44" s="377">
        <f>+E44-D44</f>
        <v>460</v>
      </c>
      <c r="H44" s="391">
        <f>+G44/D44*100</f>
        <v>4.5999999999999996</v>
      </c>
      <c r="I44" s="414"/>
      <c r="J44" s="143"/>
      <c r="K44" s="245"/>
      <c r="L44" s="144"/>
      <c r="M44" s="145" t="s">
        <v>173</v>
      </c>
      <c r="N44" s="145"/>
      <c r="O44" s="145"/>
      <c r="P44" s="143">
        <f>SUM(P45:P49)</f>
        <v>10460000</v>
      </c>
      <c r="Q44" s="133" t="s">
        <v>159</v>
      </c>
      <c r="R44" s="122"/>
      <c r="S44" s="333"/>
      <c r="T44" s="333"/>
    </row>
    <row r="45" spans="1:20" s="121" customFormat="1" ht="15.95" customHeight="1">
      <c r="A45" s="134"/>
      <c r="B45" s="146"/>
      <c r="C45" s="419"/>
      <c r="D45" s="392"/>
      <c r="E45" s="392"/>
      <c r="F45" s="47"/>
      <c r="G45" s="380">
        <f>+E45-D45</f>
        <v>0</v>
      </c>
      <c r="H45" s="393" t="e">
        <f>+G45/D45*100</f>
        <v>#DIV/0!</v>
      </c>
      <c r="I45" s="394" t="s">
        <v>106</v>
      </c>
      <c r="J45" s="372">
        <v>480000</v>
      </c>
      <c r="K45" s="373" t="s">
        <v>159</v>
      </c>
      <c r="L45" s="382" t="s">
        <v>133</v>
      </c>
      <c r="M45" s="374">
        <v>2</v>
      </c>
      <c r="N45" s="374" t="s">
        <v>136</v>
      </c>
      <c r="O45" s="383" t="s">
        <v>148</v>
      </c>
      <c r="P45" s="372">
        <f>SUM(J45*M45)</f>
        <v>960000</v>
      </c>
      <c r="Q45" s="157" t="s">
        <v>159</v>
      </c>
      <c r="R45" s="122"/>
      <c r="S45" s="333"/>
      <c r="T45" s="333"/>
    </row>
    <row r="46" spans="1:20" s="121" customFormat="1" ht="15.95" customHeight="1">
      <c r="A46" s="134"/>
      <c r="B46" s="146"/>
      <c r="C46" s="419"/>
      <c r="D46" s="392"/>
      <c r="E46" s="392"/>
      <c r="F46" s="47"/>
      <c r="G46" s="380"/>
      <c r="H46" s="393"/>
      <c r="I46" s="394" t="s">
        <v>386</v>
      </c>
      <c r="J46" s="372">
        <v>1750000</v>
      </c>
      <c r="K46" s="373" t="s">
        <v>159</v>
      </c>
      <c r="L46" s="382" t="s">
        <v>133</v>
      </c>
      <c r="M46" s="374">
        <v>4</v>
      </c>
      <c r="N46" s="374" t="s">
        <v>136</v>
      </c>
      <c r="O46" s="383" t="s">
        <v>148</v>
      </c>
      <c r="P46" s="372">
        <f>SUM(J46*M46)</f>
        <v>7000000</v>
      </c>
      <c r="Q46" s="157" t="s">
        <v>159</v>
      </c>
      <c r="R46" s="122"/>
      <c r="S46" s="333"/>
      <c r="T46" s="333"/>
    </row>
    <row r="47" spans="1:20" s="121" customFormat="1" ht="15.95" customHeight="1">
      <c r="A47" s="134"/>
      <c r="B47" s="146"/>
      <c r="C47" s="419"/>
      <c r="D47" s="392"/>
      <c r="E47" s="392"/>
      <c r="F47" s="47"/>
      <c r="G47" s="380">
        <f>+E47-D47</f>
        <v>0</v>
      </c>
      <c r="H47" s="393" t="e">
        <f t="shared" ref="H47:H57" si="3">+G47/D47*100</f>
        <v>#DIV/0!</v>
      </c>
      <c r="I47" s="394" t="s">
        <v>97</v>
      </c>
      <c r="J47" s="372">
        <v>500000</v>
      </c>
      <c r="K47" s="373" t="s">
        <v>159</v>
      </c>
      <c r="L47" s="382" t="s">
        <v>133</v>
      </c>
      <c r="M47" s="374">
        <v>4</v>
      </c>
      <c r="N47" s="374" t="s">
        <v>136</v>
      </c>
      <c r="O47" s="383" t="s">
        <v>148</v>
      </c>
      <c r="P47" s="372">
        <f>SUM(J47*M47)</f>
        <v>2000000</v>
      </c>
      <c r="Q47" s="157" t="s">
        <v>159</v>
      </c>
      <c r="R47" s="122"/>
      <c r="S47" s="333"/>
      <c r="T47" s="333"/>
    </row>
    <row r="48" spans="1:20" s="121" customFormat="1" ht="15.95" customHeight="1">
      <c r="A48" s="134"/>
      <c r="B48" s="146"/>
      <c r="C48" s="419"/>
      <c r="D48" s="392"/>
      <c r="E48" s="392"/>
      <c r="F48" s="47"/>
      <c r="G48" s="380"/>
      <c r="H48" s="393"/>
      <c r="I48" s="394" t="s">
        <v>6</v>
      </c>
      <c r="J48" s="372">
        <v>100000</v>
      </c>
      <c r="K48" s="373" t="s">
        <v>159</v>
      </c>
      <c r="L48" s="382" t="s">
        <v>133</v>
      </c>
      <c r="M48" s="374">
        <v>1</v>
      </c>
      <c r="N48" s="374" t="s">
        <v>136</v>
      </c>
      <c r="O48" s="383" t="s">
        <v>148</v>
      </c>
      <c r="P48" s="372">
        <f>SUM(J48*M48)</f>
        <v>100000</v>
      </c>
      <c r="Q48" s="157" t="s">
        <v>159</v>
      </c>
      <c r="R48" s="122"/>
      <c r="S48" s="333"/>
      <c r="T48" s="333"/>
    </row>
    <row r="49" spans="1:20" s="121" customFormat="1" ht="15.95" customHeight="1">
      <c r="A49" s="134"/>
      <c r="B49" s="146"/>
      <c r="C49" s="419"/>
      <c r="D49" s="392"/>
      <c r="E49" s="392"/>
      <c r="F49" s="398"/>
      <c r="G49" s="380">
        <f>+E49-D49</f>
        <v>0</v>
      </c>
      <c r="H49" s="393" t="e">
        <f t="shared" si="3"/>
        <v>#DIV/0!</v>
      </c>
      <c r="I49" s="394" t="s">
        <v>409</v>
      </c>
      <c r="J49" s="372">
        <v>100000</v>
      </c>
      <c r="K49" s="373" t="s">
        <v>159</v>
      </c>
      <c r="L49" s="382" t="s">
        <v>133</v>
      </c>
      <c r="M49" s="374">
        <v>4</v>
      </c>
      <c r="N49" s="374" t="s">
        <v>136</v>
      </c>
      <c r="O49" s="383" t="s">
        <v>148</v>
      </c>
      <c r="P49" s="372">
        <f>SUM(J49*M49)</f>
        <v>400000</v>
      </c>
      <c r="Q49" s="157" t="s">
        <v>159</v>
      </c>
      <c r="R49" s="122"/>
      <c r="S49" s="333"/>
      <c r="T49" s="333"/>
    </row>
    <row r="50" spans="1:20" s="121" customFormat="1" ht="20.100000000000001" customHeight="1">
      <c r="A50" s="134"/>
      <c r="B50" s="296" t="s">
        <v>158</v>
      </c>
      <c r="C50" s="420" t="s">
        <v>180</v>
      </c>
      <c r="D50" s="421">
        <f>SUM(D51:D63,D64:D76)</f>
        <v>386907</v>
      </c>
      <c r="E50" s="421">
        <f>SUM(E51:E76)</f>
        <v>394139.23996500002</v>
      </c>
      <c r="F50" s="422">
        <f>SUM(F51:F63,F64:F76)</f>
        <v>274672</v>
      </c>
      <c r="G50" s="423">
        <f>E50-D50</f>
        <v>7232.2399650000152</v>
      </c>
      <c r="H50" s="424">
        <f t="shared" si="3"/>
        <v>1.869245055013224</v>
      </c>
      <c r="I50" s="414"/>
      <c r="J50" s="143"/>
      <c r="K50" s="245"/>
      <c r="L50" s="245"/>
      <c r="M50" s="245"/>
      <c r="N50" s="245"/>
      <c r="O50" s="245"/>
      <c r="P50" s="132">
        <f>SUM(P51,P53,P60,P64,P69,P74)</f>
        <v>394139239.96500003</v>
      </c>
      <c r="Q50" s="133" t="s">
        <v>159</v>
      </c>
      <c r="R50" s="122"/>
      <c r="S50" s="333"/>
      <c r="T50" s="333"/>
    </row>
    <row r="51" spans="1:20" s="121" customFormat="1" ht="15.95" customHeight="1">
      <c r="A51" s="134"/>
      <c r="B51" s="146"/>
      <c r="C51" s="418" t="s">
        <v>185</v>
      </c>
      <c r="D51" s="390">
        <v>200</v>
      </c>
      <c r="E51" s="390">
        <f>+P51/1000</f>
        <v>200</v>
      </c>
      <c r="F51" s="46">
        <v>107</v>
      </c>
      <c r="G51" s="377">
        <f>+E51-D51</f>
        <v>0</v>
      </c>
      <c r="H51" s="391">
        <f t="shared" si="3"/>
        <v>0</v>
      </c>
      <c r="I51" s="414"/>
      <c r="J51" s="143"/>
      <c r="K51" s="245"/>
      <c r="L51" s="144"/>
      <c r="M51" s="144" t="s">
        <v>173</v>
      </c>
      <c r="N51" s="144"/>
      <c r="O51" s="144"/>
      <c r="P51" s="143">
        <f>SUM(P52)</f>
        <v>200000</v>
      </c>
      <c r="Q51" s="133" t="s">
        <v>159</v>
      </c>
      <c r="R51" s="122"/>
      <c r="S51" s="333"/>
      <c r="T51" s="333"/>
    </row>
    <row r="52" spans="1:20" s="121" customFormat="1" ht="15.95" customHeight="1">
      <c r="A52" s="134"/>
      <c r="B52" s="425"/>
      <c r="C52" s="426"/>
      <c r="D52" s="397"/>
      <c r="E52" s="397"/>
      <c r="F52" s="398"/>
      <c r="G52" s="388">
        <f>+E52-D52</f>
        <v>0</v>
      </c>
      <c r="H52" s="399" t="e">
        <f t="shared" si="3"/>
        <v>#DIV/0!</v>
      </c>
      <c r="I52" s="427" t="s">
        <v>310</v>
      </c>
      <c r="J52" s="165">
        <v>50000</v>
      </c>
      <c r="K52" s="408" t="s">
        <v>159</v>
      </c>
      <c r="L52" s="258" t="s">
        <v>133</v>
      </c>
      <c r="M52" s="257">
        <v>4</v>
      </c>
      <c r="N52" s="257" t="s">
        <v>136</v>
      </c>
      <c r="O52" s="259" t="s">
        <v>148</v>
      </c>
      <c r="P52" s="165">
        <f>SUM(J52*M52)</f>
        <v>200000</v>
      </c>
      <c r="Q52" s="260" t="s">
        <v>159</v>
      </c>
      <c r="R52" s="122"/>
      <c r="S52" s="333"/>
      <c r="T52" s="333"/>
    </row>
    <row r="53" spans="1:20" s="121" customFormat="1" ht="15.95" customHeight="1">
      <c r="A53" s="134"/>
      <c r="B53" s="146"/>
      <c r="C53" s="428" t="s">
        <v>40</v>
      </c>
      <c r="D53" s="390">
        <v>211218</v>
      </c>
      <c r="E53" s="390">
        <f>+P53/1000</f>
        <v>204250</v>
      </c>
      <c r="F53" s="46">
        <v>27504</v>
      </c>
      <c r="G53" s="377">
        <f>+E53-D53</f>
        <v>-6968</v>
      </c>
      <c r="H53" s="391">
        <f t="shared" si="3"/>
        <v>-3.2989612627711655</v>
      </c>
      <c r="I53" s="414"/>
      <c r="J53" s="143"/>
      <c r="K53" s="245"/>
      <c r="L53" s="245"/>
      <c r="M53" s="145" t="s">
        <v>173</v>
      </c>
      <c r="N53" s="145"/>
      <c r="O53" s="145"/>
      <c r="P53" s="132">
        <f>SUM(P54:P59)</f>
        <v>204250000</v>
      </c>
      <c r="Q53" s="133" t="s">
        <v>159</v>
      </c>
      <c r="R53" s="122"/>
      <c r="S53" s="333"/>
      <c r="T53" s="333"/>
    </row>
    <row r="54" spans="1:20" s="121" customFormat="1" ht="15.95" customHeight="1">
      <c r="A54" s="134"/>
      <c r="B54" s="146"/>
      <c r="C54" s="429"/>
      <c r="D54" s="392"/>
      <c r="E54" s="392"/>
      <c r="F54" s="47"/>
      <c r="G54" s="380"/>
      <c r="H54" s="393"/>
      <c r="I54" s="394" t="s">
        <v>402</v>
      </c>
      <c r="J54" s="372">
        <v>13415000</v>
      </c>
      <c r="K54" s="373" t="s">
        <v>141</v>
      </c>
      <c r="L54" s="374" t="s">
        <v>133</v>
      </c>
      <c r="M54" s="374">
        <v>12</v>
      </c>
      <c r="N54" s="374" t="s">
        <v>141</v>
      </c>
      <c r="O54" s="374" t="s">
        <v>150</v>
      </c>
      <c r="P54" s="430">
        <f>J54*M54</f>
        <v>160980000</v>
      </c>
      <c r="Q54" s="157" t="s">
        <v>159</v>
      </c>
      <c r="R54" s="122"/>
      <c r="S54" s="333"/>
      <c r="T54" s="333"/>
    </row>
    <row r="55" spans="1:20" s="121" customFormat="1" ht="15.95" customHeight="1">
      <c r="A55" s="134"/>
      <c r="B55" s="146"/>
      <c r="C55" s="419"/>
      <c r="D55" s="392"/>
      <c r="E55" s="392"/>
      <c r="F55" s="47"/>
      <c r="G55" s="380">
        <f>+E55-D55</f>
        <v>0</v>
      </c>
      <c r="H55" s="393" t="e">
        <f t="shared" si="3"/>
        <v>#DIV/0!</v>
      </c>
      <c r="I55" s="394" t="s">
        <v>93</v>
      </c>
      <c r="J55" s="372">
        <v>2035000</v>
      </c>
      <c r="K55" s="373" t="s">
        <v>159</v>
      </c>
      <c r="L55" s="382" t="s">
        <v>133</v>
      </c>
      <c r="M55" s="374">
        <v>2</v>
      </c>
      <c r="N55" s="374" t="s">
        <v>136</v>
      </c>
      <c r="O55" s="383" t="s">
        <v>148</v>
      </c>
      <c r="P55" s="372">
        <f>SUM(J55*M55)</f>
        <v>4070000</v>
      </c>
      <c r="Q55" s="157" t="s">
        <v>159</v>
      </c>
      <c r="R55" s="122"/>
      <c r="S55" s="333"/>
      <c r="T55" s="333"/>
    </row>
    <row r="56" spans="1:20" s="121" customFormat="1" ht="15.95" customHeight="1">
      <c r="A56" s="134"/>
      <c r="B56" s="146"/>
      <c r="C56" s="419"/>
      <c r="D56" s="392"/>
      <c r="E56" s="392"/>
      <c r="F56" s="47"/>
      <c r="G56" s="380"/>
      <c r="H56" s="393"/>
      <c r="I56" s="394" t="s">
        <v>414</v>
      </c>
      <c r="J56" s="372">
        <v>2875000</v>
      </c>
      <c r="K56" s="373" t="s">
        <v>159</v>
      </c>
      <c r="L56" s="382" t="s">
        <v>133</v>
      </c>
      <c r="M56" s="374">
        <v>8</v>
      </c>
      <c r="N56" s="374" t="s">
        <v>136</v>
      </c>
      <c r="O56" s="383" t="s">
        <v>148</v>
      </c>
      <c r="P56" s="372">
        <f>SUM(J56*M56)</f>
        <v>23000000</v>
      </c>
      <c r="Q56" s="157" t="s">
        <v>159</v>
      </c>
      <c r="R56" s="122"/>
      <c r="S56" s="333"/>
      <c r="T56" s="333"/>
    </row>
    <row r="57" spans="1:20" s="121" customFormat="1" ht="15.95" customHeight="1">
      <c r="A57" s="134"/>
      <c r="B57" s="146"/>
      <c r="C57" s="419"/>
      <c r="D57" s="392"/>
      <c r="E57" s="392"/>
      <c r="F57" s="47"/>
      <c r="G57" s="380">
        <f>+E57-D57</f>
        <v>0</v>
      </c>
      <c r="H57" s="393" t="e">
        <f t="shared" si="3"/>
        <v>#DIV/0!</v>
      </c>
      <c r="I57" s="394" t="s">
        <v>373</v>
      </c>
      <c r="J57" s="372">
        <v>900000</v>
      </c>
      <c r="K57" s="373" t="s">
        <v>159</v>
      </c>
      <c r="L57" s="382" t="s">
        <v>133</v>
      </c>
      <c r="M57" s="374">
        <v>12</v>
      </c>
      <c r="N57" s="374" t="s">
        <v>141</v>
      </c>
      <c r="O57" s="383" t="s">
        <v>148</v>
      </c>
      <c r="P57" s="372">
        <f>SUM(J57*M57)</f>
        <v>10800000</v>
      </c>
      <c r="Q57" s="157" t="s">
        <v>159</v>
      </c>
      <c r="R57" s="122"/>
      <c r="S57" s="333"/>
      <c r="T57" s="333"/>
    </row>
    <row r="58" spans="1:20" s="121" customFormat="1" ht="15.95" customHeight="1">
      <c r="A58" s="134"/>
      <c r="B58" s="146"/>
      <c r="C58" s="419"/>
      <c r="D58" s="392"/>
      <c r="E58" s="392"/>
      <c r="F58" s="47"/>
      <c r="G58" s="380"/>
      <c r="H58" s="393"/>
      <c r="I58" s="394" t="s">
        <v>231</v>
      </c>
      <c r="J58" s="372">
        <v>200000</v>
      </c>
      <c r="K58" s="373" t="s">
        <v>159</v>
      </c>
      <c r="L58" s="382" t="s">
        <v>133</v>
      </c>
      <c r="M58" s="374">
        <v>12</v>
      </c>
      <c r="N58" s="374" t="s">
        <v>141</v>
      </c>
      <c r="O58" s="383" t="s">
        <v>148</v>
      </c>
      <c r="P58" s="372">
        <f>SUM(J58*M58)</f>
        <v>2400000</v>
      </c>
      <c r="Q58" s="157" t="s">
        <v>159</v>
      </c>
      <c r="R58" s="122"/>
      <c r="S58" s="333"/>
      <c r="T58" s="333"/>
    </row>
    <row r="59" spans="1:20" s="121" customFormat="1" ht="15.95" customHeight="1">
      <c r="A59" s="134"/>
      <c r="B59" s="146"/>
      <c r="C59" s="426"/>
      <c r="D59" s="397"/>
      <c r="E59" s="397"/>
      <c r="F59" s="398"/>
      <c r="G59" s="388">
        <f t="shared" ref="G59:G64" si="4">+E59-D59</f>
        <v>0</v>
      </c>
      <c r="H59" s="399" t="e">
        <f t="shared" ref="H59:H69" si="5">+G59/D59*100</f>
        <v>#DIV/0!</v>
      </c>
      <c r="I59" s="427" t="s">
        <v>214</v>
      </c>
      <c r="J59" s="165">
        <v>250000</v>
      </c>
      <c r="K59" s="408" t="s">
        <v>159</v>
      </c>
      <c r="L59" s="258" t="s">
        <v>133</v>
      </c>
      <c r="M59" s="257">
        <v>12</v>
      </c>
      <c r="N59" s="257" t="s">
        <v>141</v>
      </c>
      <c r="O59" s="259" t="s">
        <v>148</v>
      </c>
      <c r="P59" s="165">
        <f>SUM(J59*M59)</f>
        <v>3000000</v>
      </c>
      <c r="Q59" s="260" t="s">
        <v>159</v>
      </c>
      <c r="R59" s="122"/>
      <c r="S59" s="333"/>
      <c r="T59" s="333"/>
    </row>
    <row r="60" spans="1:20" s="121" customFormat="1" ht="15.95" customHeight="1">
      <c r="A60" s="134"/>
      <c r="B60" s="146"/>
      <c r="C60" s="419" t="s">
        <v>230</v>
      </c>
      <c r="D60" s="392">
        <v>8220</v>
      </c>
      <c r="E60" s="392">
        <f>P60/1000</f>
        <v>8220</v>
      </c>
      <c r="F60" s="47">
        <v>9102</v>
      </c>
      <c r="G60" s="380">
        <f t="shared" si="4"/>
        <v>0</v>
      </c>
      <c r="H60" s="393">
        <f t="shared" si="5"/>
        <v>0</v>
      </c>
      <c r="I60" s="394"/>
      <c r="J60" s="372"/>
      <c r="K60" s="373"/>
      <c r="L60" s="373"/>
      <c r="M60" s="431" t="s">
        <v>173</v>
      </c>
      <c r="N60" s="431"/>
      <c r="O60" s="431"/>
      <c r="P60" s="430">
        <f>SUM(P61:P63)</f>
        <v>8220000</v>
      </c>
      <c r="Q60" s="157" t="s">
        <v>159</v>
      </c>
      <c r="R60" s="122"/>
      <c r="S60" s="333"/>
      <c r="T60" s="333"/>
    </row>
    <row r="61" spans="1:20" s="121" customFormat="1" ht="15.95" customHeight="1">
      <c r="A61" s="134"/>
      <c r="B61" s="146"/>
      <c r="C61" s="419"/>
      <c r="D61" s="392"/>
      <c r="E61" s="392"/>
      <c r="F61" s="47"/>
      <c r="G61" s="380">
        <f t="shared" si="4"/>
        <v>0</v>
      </c>
      <c r="H61" s="393" t="e">
        <f t="shared" si="5"/>
        <v>#DIV/0!</v>
      </c>
      <c r="I61" s="394" t="s">
        <v>65</v>
      </c>
      <c r="J61" s="372">
        <v>400000</v>
      </c>
      <c r="K61" s="373" t="s">
        <v>159</v>
      </c>
      <c r="L61" s="382" t="s">
        <v>133</v>
      </c>
      <c r="M61" s="374">
        <v>12</v>
      </c>
      <c r="N61" s="374" t="s">
        <v>141</v>
      </c>
      <c r="O61" s="383" t="s">
        <v>148</v>
      </c>
      <c r="P61" s="372">
        <f>SUM(J61*M61)</f>
        <v>4800000</v>
      </c>
      <c r="Q61" s="157" t="s">
        <v>159</v>
      </c>
      <c r="R61" s="122"/>
      <c r="S61" s="333"/>
      <c r="T61" s="333"/>
    </row>
    <row r="62" spans="1:20" s="121" customFormat="1" ht="15.95" customHeight="1">
      <c r="A62" s="134"/>
      <c r="B62" s="146"/>
      <c r="C62" s="419"/>
      <c r="D62" s="392"/>
      <c r="E62" s="392"/>
      <c r="F62" s="47"/>
      <c r="G62" s="380">
        <f t="shared" si="4"/>
        <v>0</v>
      </c>
      <c r="H62" s="393" t="e">
        <f t="shared" si="5"/>
        <v>#DIV/0!</v>
      </c>
      <c r="I62" s="394" t="s">
        <v>374</v>
      </c>
      <c r="J62" s="372">
        <v>235000</v>
      </c>
      <c r="K62" s="373" t="s">
        <v>159</v>
      </c>
      <c r="L62" s="382" t="s">
        <v>133</v>
      </c>
      <c r="M62" s="374">
        <v>12</v>
      </c>
      <c r="N62" s="374" t="s">
        <v>141</v>
      </c>
      <c r="O62" s="383" t="s">
        <v>148</v>
      </c>
      <c r="P62" s="372">
        <f>SUM(J62*M62)</f>
        <v>2820000</v>
      </c>
      <c r="Q62" s="157" t="s">
        <v>159</v>
      </c>
      <c r="R62" s="122"/>
      <c r="S62" s="333"/>
      <c r="T62" s="333"/>
    </row>
    <row r="63" spans="1:20" s="121" customFormat="1" ht="15.95" customHeight="1">
      <c r="A63" s="134"/>
      <c r="B63" s="146"/>
      <c r="C63" s="419"/>
      <c r="D63" s="392"/>
      <c r="E63" s="392"/>
      <c r="F63" s="47"/>
      <c r="G63" s="380">
        <f t="shared" si="4"/>
        <v>0</v>
      </c>
      <c r="H63" s="393" t="e">
        <f t="shared" si="5"/>
        <v>#DIV/0!</v>
      </c>
      <c r="I63" s="394" t="s">
        <v>270</v>
      </c>
      <c r="J63" s="372">
        <v>50000</v>
      </c>
      <c r="K63" s="373" t="s">
        <v>159</v>
      </c>
      <c r="L63" s="382" t="s">
        <v>133</v>
      </c>
      <c r="M63" s="374">
        <v>12</v>
      </c>
      <c r="N63" s="374" t="s">
        <v>136</v>
      </c>
      <c r="O63" s="383" t="s">
        <v>148</v>
      </c>
      <c r="P63" s="372">
        <f>SUM(J63*M63)</f>
        <v>600000</v>
      </c>
      <c r="Q63" s="157" t="s">
        <v>159</v>
      </c>
      <c r="R63" s="122"/>
      <c r="S63" s="333"/>
      <c r="T63" s="333"/>
    </row>
    <row r="64" spans="1:20" s="121" customFormat="1" ht="15.95" customHeight="1">
      <c r="A64" s="134" t="s">
        <v>172</v>
      </c>
      <c r="B64" s="146" t="s">
        <v>172</v>
      </c>
      <c r="C64" s="375" t="s">
        <v>392</v>
      </c>
      <c r="D64" s="390">
        <v>90999</v>
      </c>
      <c r="E64" s="390">
        <f>+P64/1000</f>
        <v>90999.24</v>
      </c>
      <c r="F64" s="46">
        <v>194780</v>
      </c>
      <c r="G64" s="377">
        <f t="shared" si="4"/>
        <v>0.24000000000523869</v>
      </c>
      <c r="H64" s="391">
        <f t="shared" si="5"/>
        <v>2.6373916197456969E-4</v>
      </c>
      <c r="I64" s="414"/>
      <c r="J64" s="143"/>
      <c r="K64" s="245"/>
      <c r="L64" s="245"/>
      <c r="M64" s="145" t="s">
        <v>173</v>
      </c>
      <c r="N64" s="145"/>
      <c r="O64" s="145"/>
      <c r="P64" s="132">
        <f>SUM(P65:P68)</f>
        <v>90999240</v>
      </c>
      <c r="Q64" s="133" t="s">
        <v>159</v>
      </c>
      <c r="R64" s="122"/>
      <c r="S64" s="333"/>
      <c r="T64" s="333"/>
    </row>
    <row r="65" spans="1:20" s="121" customFormat="1" ht="15.95" customHeight="1">
      <c r="A65" s="134"/>
      <c r="B65" s="146"/>
      <c r="C65" s="62"/>
      <c r="D65" s="392"/>
      <c r="E65" s="392"/>
      <c r="F65" s="47"/>
      <c r="G65" s="380"/>
      <c r="H65" s="393"/>
      <c r="I65" s="394" t="s">
        <v>442</v>
      </c>
      <c r="J65" s="372">
        <v>8750000</v>
      </c>
      <c r="K65" s="373" t="s">
        <v>159</v>
      </c>
      <c r="L65" s="382" t="s">
        <v>133</v>
      </c>
      <c r="M65" s="374">
        <v>4</v>
      </c>
      <c r="N65" s="374" t="s">
        <v>136</v>
      </c>
      <c r="O65" s="383" t="s">
        <v>148</v>
      </c>
      <c r="P65" s="372">
        <f>SUM(J65*M65)</f>
        <v>35000000</v>
      </c>
      <c r="Q65" s="157" t="s">
        <v>159</v>
      </c>
      <c r="R65" s="122"/>
      <c r="S65" s="333"/>
      <c r="T65" s="333"/>
    </row>
    <row r="66" spans="1:20" s="121" customFormat="1" ht="15.95" customHeight="1">
      <c r="A66" s="134"/>
      <c r="B66" s="146"/>
      <c r="C66" s="62"/>
      <c r="D66" s="392"/>
      <c r="E66" s="392"/>
      <c r="F66" s="47"/>
      <c r="G66" s="380"/>
      <c r="H66" s="393"/>
      <c r="I66" s="394" t="s">
        <v>332</v>
      </c>
      <c r="J66" s="372">
        <v>50000000</v>
      </c>
      <c r="K66" s="373" t="s">
        <v>159</v>
      </c>
      <c r="L66" s="382" t="s">
        <v>133</v>
      </c>
      <c r="M66" s="374">
        <v>1</v>
      </c>
      <c r="N66" s="374" t="s">
        <v>136</v>
      </c>
      <c r="O66" s="383" t="s">
        <v>148</v>
      </c>
      <c r="P66" s="372">
        <f>SUM(J66*M66)</f>
        <v>50000000</v>
      </c>
      <c r="Q66" s="157" t="s">
        <v>159</v>
      </c>
      <c r="R66" s="122"/>
      <c r="S66" s="333"/>
      <c r="T66" s="333"/>
    </row>
    <row r="67" spans="1:20" s="121" customFormat="1" ht="15.95" customHeight="1">
      <c r="A67" s="134"/>
      <c r="B67" s="146"/>
      <c r="C67" s="62"/>
      <c r="D67" s="392"/>
      <c r="E67" s="392"/>
      <c r="F67" s="47"/>
      <c r="G67" s="380"/>
      <c r="H67" s="393"/>
      <c r="I67" s="432" t="s">
        <v>165</v>
      </c>
      <c r="J67" s="372">
        <v>3999240</v>
      </c>
      <c r="K67" s="373" t="s">
        <v>159</v>
      </c>
      <c r="L67" s="382" t="s">
        <v>133</v>
      </c>
      <c r="M67" s="374">
        <v>1</v>
      </c>
      <c r="N67" s="374" t="s">
        <v>136</v>
      </c>
      <c r="O67" s="374" t="s">
        <v>148</v>
      </c>
      <c r="P67" s="372">
        <f>SUM(J67*M67)</f>
        <v>3999240</v>
      </c>
      <c r="Q67" s="157" t="s">
        <v>159</v>
      </c>
      <c r="R67" s="122"/>
      <c r="S67" s="333"/>
      <c r="T67" s="333"/>
    </row>
    <row r="68" spans="1:20" s="121" customFormat="1" ht="15.95" customHeight="1">
      <c r="A68" s="134"/>
      <c r="B68" s="146"/>
      <c r="C68" s="386"/>
      <c r="D68" s="397"/>
      <c r="E68" s="397"/>
      <c r="F68" s="398"/>
      <c r="G68" s="388"/>
      <c r="H68" s="399"/>
      <c r="I68" s="427" t="s">
        <v>406</v>
      </c>
      <c r="J68" s="165">
        <v>1000000</v>
      </c>
      <c r="K68" s="408" t="s">
        <v>159</v>
      </c>
      <c r="L68" s="258" t="s">
        <v>133</v>
      </c>
      <c r="M68" s="257">
        <v>2</v>
      </c>
      <c r="N68" s="257" t="s">
        <v>160</v>
      </c>
      <c r="O68" s="259" t="s">
        <v>148</v>
      </c>
      <c r="P68" s="165">
        <f>SUM(J68*M68)</f>
        <v>2000000</v>
      </c>
      <c r="Q68" s="260" t="s">
        <v>159</v>
      </c>
      <c r="R68" s="122"/>
      <c r="S68" s="333"/>
      <c r="T68" s="333"/>
    </row>
    <row r="69" spans="1:20" s="121" customFormat="1" ht="15.95" customHeight="1">
      <c r="A69" s="109" t="s">
        <v>142</v>
      </c>
      <c r="B69" s="242" t="s">
        <v>158</v>
      </c>
      <c r="C69" s="375" t="s">
        <v>338</v>
      </c>
      <c r="D69" s="390">
        <v>73870</v>
      </c>
      <c r="E69" s="390">
        <f>+P69/1000</f>
        <v>88069.99996500001</v>
      </c>
      <c r="F69" s="14">
        <v>36590</v>
      </c>
      <c r="G69" s="377">
        <f>E69-D69</f>
        <v>14199.99996500001</v>
      </c>
      <c r="H69" s="378">
        <f t="shared" si="5"/>
        <v>19.22295920536078</v>
      </c>
      <c r="I69" s="433"/>
      <c r="J69" s="434"/>
      <c r="K69" s="245"/>
      <c r="L69" s="144"/>
      <c r="M69" s="145" t="s">
        <v>173</v>
      </c>
      <c r="N69" s="145"/>
      <c r="O69" s="145"/>
      <c r="P69" s="143">
        <f>SUM(P70:P73)</f>
        <v>88069999.965000004</v>
      </c>
      <c r="Q69" s="133" t="s">
        <v>159</v>
      </c>
      <c r="R69" s="122"/>
      <c r="S69" s="333"/>
      <c r="T69" s="333"/>
    </row>
    <row r="70" spans="1:20" s="121" customFormat="1" ht="15.95" customHeight="1">
      <c r="A70" s="435"/>
      <c r="B70" s="436"/>
      <c r="C70" s="62"/>
      <c r="D70" s="392"/>
      <c r="E70" s="392"/>
      <c r="F70" s="15"/>
      <c r="G70" s="380"/>
      <c r="H70" s="381"/>
      <c r="I70" s="437" t="s">
        <v>407</v>
      </c>
      <c r="J70" s="438">
        <v>450000</v>
      </c>
      <c r="K70" s="439" t="s">
        <v>159</v>
      </c>
      <c r="L70" s="440" t="s">
        <v>133</v>
      </c>
      <c r="M70" s="441">
        <v>15</v>
      </c>
      <c r="N70" s="441" t="s">
        <v>157</v>
      </c>
      <c r="O70" s="442" t="s">
        <v>148</v>
      </c>
      <c r="P70" s="438">
        <f>SUM(J70*M70)</f>
        <v>6750000</v>
      </c>
      <c r="Q70" s="206" t="s">
        <v>159</v>
      </c>
      <c r="R70" s="443"/>
      <c r="S70" s="443"/>
      <c r="T70" s="443"/>
    </row>
    <row r="71" spans="1:20" s="121" customFormat="1" ht="15.95" customHeight="1">
      <c r="A71" s="134"/>
      <c r="B71" s="146"/>
      <c r="C71" s="62"/>
      <c r="D71" s="392"/>
      <c r="E71" s="392"/>
      <c r="F71" s="15"/>
      <c r="G71" s="380"/>
      <c r="H71" s="381"/>
      <c r="I71" s="394" t="s">
        <v>235</v>
      </c>
      <c r="J71" s="372">
        <v>1905945.9450000001</v>
      </c>
      <c r="K71" s="373" t="s">
        <v>159</v>
      </c>
      <c r="L71" s="382" t="s">
        <v>133</v>
      </c>
      <c r="M71" s="374">
        <v>37</v>
      </c>
      <c r="N71" s="374" t="s">
        <v>136</v>
      </c>
      <c r="O71" s="383" t="s">
        <v>148</v>
      </c>
      <c r="P71" s="372">
        <f>SUM(J71*M71)</f>
        <v>70519999.965000004</v>
      </c>
      <c r="Q71" s="157" t="s">
        <v>159</v>
      </c>
      <c r="R71" s="122"/>
      <c r="S71" s="333"/>
      <c r="T71" s="333"/>
    </row>
    <row r="72" spans="1:20" s="121" customFormat="1" ht="15.95" customHeight="1">
      <c r="A72" s="134"/>
      <c r="B72" s="146"/>
      <c r="C72" s="62"/>
      <c r="D72" s="392"/>
      <c r="E72" s="392"/>
      <c r="F72" s="15"/>
      <c r="G72" s="380"/>
      <c r="H72" s="381"/>
      <c r="I72" s="394" t="s">
        <v>99</v>
      </c>
      <c r="J72" s="372">
        <v>400000</v>
      </c>
      <c r="K72" s="373" t="s">
        <v>159</v>
      </c>
      <c r="L72" s="382" t="s">
        <v>133</v>
      </c>
      <c r="M72" s="374">
        <v>2</v>
      </c>
      <c r="N72" s="374" t="s">
        <v>136</v>
      </c>
      <c r="O72" s="383" t="s">
        <v>148</v>
      </c>
      <c r="P72" s="372">
        <f>SUM(J72*M72)</f>
        <v>800000</v>
      </c>
      <c r="Q72" s="157" t="s">
        <v>159</v>
      </c>
      <c r="R72" s="122"/>
      <c r="S72" s="333"/>
      <c r="T72" s="333"/>
    </row>
    <row r="73" spans="1:20" s="121" customFormat="1" ht="15.95" customHeight="1">
      <c r="A73" s="134"/>
      <c r="B73" s="146"/>
      <c r="C73" s="386"/>
      <c r="D73" s="397"/>
      <c r="E73" s="397"/>
      <c r="F73" s="15"/>
      <c r="G73" s="388"/>
      <c r="H73" s="389"/>
      <c r="I73" s="394" t="s">
        <v>455</v>
      </c>
      <c r="J73" s="372">
        <v>5000000</v>
      </c>
      <c r="K73" s="373" t="s">
        <v>159</v>
      </c>
      <c r="L73" s="382" t="s">
        <v>133</v>
      </c>
      <c r="M73" s="374">
        <v>2</v>
      </c>
      <c r="N73" s="374" t="s">
        <v>136</v>
      </c>
      <c r="O73" s="383" t="s">
        <v>148</v>
      </c>
      <c r="P73" s="372">
        <f>SUM(J73*M73)</f>
        <v>10000000</v>
      </c>
      <c r="Q73" s="157" t="s">
        <v>159</v>
      </c>
      <c r="R73" s="122"/>
      <c r="S73" s="333"/>
      <c r="T73" s="333"/>
    </row>
    <row r="74" spans="1:20" s="121" customFormat="1" ht="15.95" customHeight="1">
      <c r="A74" s="134"/>
      <c r="B74" s="146"/>
      <c r="C74" s="418" t="s">
        <v>137</v>
      </c>
      <c r="D74" s="390">
        <v>2400</v>
      </c>
      <c r="E74" s="390">
        <f>+P74/1000</f>
        <v>2400</v>
      </c>
      <c r="F74" s="46">
        <v>6589</v>
      </c>
      <c r="G74" s="377">
        <f>+E74-D74</f>
        <v>0</v>
      </c>
      <c r="H74" s="391">
        <f>+G74/D74*100</f>
        <v>0</v>
      </c>
      <c r="I74" s="414"/>
      <c r="J74" s="143"/>
      <c r="K74" s="245"/>
      <c r="L74" s="144"/>
      <c r="M74" s="145" t="s">
        <v>173</v>
      </c>
      <c r="N74" s="145"/>
      <c r="O74" s="145"/>
      <c r="P74" s="143">
        <f>SUM(P75:P76)</f>
        <v>2400000</v>
      </c>
      <c r="Q74" s="133" t="s">
        <v>159</v>
      </c>
      <c r="R74" s="122"/>
      <c r="S74" s="333"/>
      <c r="T74" s="333"/>
    </row>
    <row r="75" spans="1:20" s="121" customFormat="1" ht="15.95" customHeight="1">
      <c r="A75" s="134"/>
      <c r="B75" s="146"/>
      <c r="C75" s="419"/>
      <c r="D75" s="392"/>
      <c r="E75" s="392"/>
      <c r="F75" s="47"/>
      <c r="G75" s="380">
        <f>+E75-D75</f>
        <v>0</v>
      </c>
      <c r="H75" s="393" t="e">
        <f>+G75/D75*100</f>
        <v>#DIV/0!</v>
      </c>
      <c r="I75" s="394" t="s">
        <v>255</v>
      </c>
      <c r="J75" s="372">
        <v>50000</v>
      </c>
      <c r="K75" s="373" t="s">
        <v>159</v>
      </c>
      <c r="L75" s="374" t="s">
        <v>133</v>
      </c>
      <c r="M75" s="374">
        <v>12</v>
      </c>
      <c r="N75" s="374" t="s">
        <v>141</v>
      </c>
      <c r="O75" s="383" t="s">
        <v>148</v>
      </c>
      <c r="P75" s="372">
        <f>SUM(J75*M75)</f>
        <v>600000</v>
      </c>
      <c r="Q75" s="157" t="s">
        <v>159</v>
      </c>
      <c r="R75" s="122"/>
      <c r="S75" s="333"/>
      <c r="T75" s="333"/>
    </row>
    <row r="76" spans="1:20" s="121" customFormat="1" ht="15.95" customHeight="1">
      <c r="A76" s="284"/>
      <c r="B76" s="285"/>
      <c r="C76" s="426"/>
      <c r="D76" s="397"/>
      <c r="E76" s="397"/>
      <c r="F76" s="398"/>
      <c r="G76" s="388">
        <f>+E76-D76</f>
        <v>0</v>
      </c>
      <c r="H76" s="399" t="e">
        <f>+G76/D76*100</f>
        <v>#DIV/0!</v>
      </c>
      <c r="I76" s="427" t="s">
        <v>371</v>
      </c>
      <c r="J76" s="165">
        <v>150000</v>
      </c>
      <c r="K76" s="408" t="s">
        <v>159</v>
      </c>
      <c r="L76" s="258" t="s">
        <v>133</v>
      </c>
      <c r="M76" s="257">
        <v>12</v>
      </c>
      <c r="N76" s="374" t="s">
        <v>141</v>
      </c>
      <c r="O76" s="259" t="s">
        <v>148</v>
      </c>
      <c r="P76" s="165">
        <f>SUM(J76*M76)</f>
        <v>1800000</v>
      </c>
      <c r="Q76" s="260" t="s">
        <v>159</v>
      </c>
      <c r="R76" s="122"/>
      <c r="S76" s="333"/>
      <c r="T76" s="333"/>
    </row>
    <row r="77" spans="1:20" s="121" customFormat="1" ht="20.100000000000001" customHeight="1">
      <c r="A77" s="109" t="s">
        <v>178</v>
      </c>
      <c r="B77" s="110" t="s">
        <v>179</v>
      </c>
      <c r="C77" s="111"/>
      <c r="D77" s="444">
        <f>SUM(D78:D82)</f>
        <v>626365</v>
      </c>
      <c r="E77" s="444">
        <f>SUM(E78:E82)</f>
        <v>1253000</v>
      </c>
      <c r="F77" s="445">
        <f>SUM(F78:F82)</f>
        <v>215364</v>
      </c>
      <c r="G77" s="446">
        <f>+E77-D77</f>
        <v>626635</v>
      </c>
      <c r="H77" s="447">
        <f>+G77/D77*100</f>
        <v>100.04310585680874</v>
      </c>
      <c r="I77" s="394"/>
      <c r="J77" s="372"/>
      <c r="K77" s="373"/>
      <c r="L77" s="374"/>
      <c r="M77" s="374"/>
      <c r="N77" s="186"/>
      <c r="O77" s="374"/>
      <c r="P77" s="448">
        <f>SUM(P78,P80,P82)</f>
        <v>1253000000</v>
      </c>
      <c r="Q77" s="120" t="s">
        <v>159</v>
      </c>
      <c r="R77" s="122"/>
      <c r="S77" s="333"/>
      <c r="T77" s="333"/>
    </row>
    <row r="78" spans="1:20" s="121" customFormat="1" ht="16.5" customHeight="1">
      <c r="A78" s="109" t="s">
        <v>131</v>
      </c>
      <c r="B78" s="296" t="s">
        <v>134</v>
      </c>
      <c r="C78" s="418" t="s">
        <v>134</v>
      </c>
      <c r="D78" s="390">
        <v>624365</v>
      </c>
      <c r="E78" s="390">
        <f>+P78/1000</f>
        <v>1250000</v>
      </c>
      <c r="F78" s="46">
        <v>290</v>
      </c>
      <c r="G78" s="377">
        <f>+E78-D78</f>
        <v>625635</v>
      </c>
      <c r="H78" s="391">
        <f>G78/D78*100</f>
        <v>100.20340666116773</v>
      </c>
      <c r="I78" s="449"/>
      <c r="J78" s="143"/>
      <c r="K78" s="245"/>
      <c r="L78" s="168"/>
      <c r="M78" s="144" t="s">
        <v>173</v>
      </c>
      <c r="N78" s="144"/>
      <c r="O78" s="144"/>
      <c r="P78" s="143">
        <f>SUM(P79:P79)</f>
        <v>1250000000</v>
      </c>
      <c r="Q78" s="133" t="s">
        <v>466</v>
      </c>
      <c r="R78" s="122"/>
      <c r="S78" s="333"/>
      <c r="T78" s="333"/>
    </row>
    <row r="79" spans="1:20" s="121" customFormat="1" ht="16.5" customHeight="1">
      <c r="A79" s="134"/>
      <c r="B79" s="146"/>
      <c r="C79" s="426"/>
      <c r="D79" s="397"/>
      <c r="E79" s="397"/>
      <c r="F79" s="398"/>
      <c r="G79" s="388"/>
      <c r="H79" s="399"/>
      <c r="I79" s="450" t="s">
        <v>372</v>
      </c>
      <c r="J79" s="165">
        <v>1250000000</v>
      </c>
      <c r="K79" s="408" t="s">
        <v>159</v>
      </c>
      <c r="L79" s="258" t="s">
        <v>133</v>
      </c>
      <c r="M79" s="257">
        <v>1</v>
      </c>
      <c r="N79" s="257" t="s">
        <v>136</v>
      </c>
      <c r="O79" s="259" t="s">
        <v>148</v>
      </c>
      <c r="P79" s="165">
        <f>SUM(J79*M79)</f>
        <v>1250000000</v>
      </c>
      <c r="Q79" s="260" t="s">
        <v>159</v>
      </c>
      <c r="R79" s="122"/>
      <c r="S79" s="333"/>
      <c r="T79" s="333"/>
    </row>
    <row r="80" spans="1:20" s="121" customFormat="1" ht="16.5" customHeight="1">
      <c r="A80" s="134"/>
      <c r="B80" s="146"/>
      <c r="C80" s="375" t="s">
        <v>385</v>
      </c>
      <c r="D80" s="390">
        <v>2000</v>
      </c>
      <c r="E80" s="390">
        <f>+P80/1000</f>
        <v>2000</v>
      </c>
      <c r="F80" s="46">
        <v>80074</v>
      </c>
      <c r="G80" s="377">
        <f>+E80-D80</f>
        <v>0</v>
      </c>
      <c r="H80" s="391">
        <f>+G80/D80*100</f>
        <v>0</v>
      </c>
      <c r="I80" s="451"/>
      <c r="J80" s="372"/>
      <c r="K80" s="373"/>
      <c r="L80" s="382"/>
      <c r="M80" s="374" t="s">
        <v>173</v>
      </c>
      <c r="N80" s="374"/>
      <c r="O80" s="374"/>
      <c r="P80" s="372">
        <f>SUM(P81:P81)</f>
        <v>2000000</v>
      </c>
      <c r="Q80" s="157" t="s">
        <v>159</v>
      </c>
      <c r="R80" s="122"/>
      <c r="S80" s="333"/>
      <c r="T80" s="333"/>
    </row>
    <row r="81" spans="1:20" s="121" customFormat="1" ht="16.5" customHeight="1">
      <c r="A81" s="134"/>
      <c r="B81" s="146"/>
      <c r="C81" s="62"/>
      <c r="D81" s="392"/>
      <c r="E81" s="392"/>
      <c r="F81" s="47"/>
      <c r="G81" s="380"/>
      <c r="H81" s="393"/>
      <c r="I81" s="411" t="s">
        <v>105</v>
      </c>
      <c r="J81" s="372">
        <v>1000000</v>
      </c>
      <c r="K81" s="373" t="s">
        <v>159</v>
      </c>
      <c r="L81" s="258" t="s">
        <v>133</v>
      </c>
      <c r="M81" s="374">
        <v>2</v>
      </c>
      <c r="N81" s="374" t="s">
        <v>136</v>
      </c>
      <c r="O81" s="383" t="s">
        <v>148</v>
      </c>
      <c r="P81" s="372">
        <f>SUM(J81*M81)</f>
        <v>2000000</v>
      </c>
      <c r="Q81" s="157" t="s">
        <v>159</v>
      </c>
      <c r="R81" s="122"/>
      <c r="S81" s="333"/>
      <c r="T81" s="333"/>
    </row>
    <row r="82" spans="1:20" s="121" customFormat="1" ht="16.5" customHeight="1">
      <c r="A82" s="134"/>
      <c r="B82" s="146"/>
      <c r="C82" s="452" t="s">
        <v>50</v>
      </c>
      <c r="D82" s="453">
        <v>0</v>
      </c>
      <c r="E82" s="453">
        <f>+P82/1000</f>
        <v>1000</v>
      </c>
      <c r="F82" s="454">
        <v>135000</v>
      </c>
      <c r="G82" s="455">
        <f>+E82-D82</f>
        <v>1000</v>
      </c>
      <c r="H82" s="456" t="s">
        <v>183</v>
      </c>
      <c r="I82" s="457"/>
      <c r="J82" s="458"/>
      <c r="K82" s="459"/>
      <c r="L82" s="460"/>
      <c r="M82" s="461" t="s">
        <v>173</v>
      </c>
      <c r="N82" s="461"/>
      <c r="O82" s="461"/>
      <c r="P82" s="458">
        <f>SUM(P83:P83)</f>
        <v>1000000</v>
      </c>
      <c r="Q82" s="462" t="s">
        <v>159</v>
      </c>
      <c r="R82" s="122"/>
      <c r="S82" s="333"/>
      <c r="T82" s="333"/>
    </row>
    <row r="83" spans="1:20" s="121" customFormat="1" ht="16.5" customHeight="1">
      <c r="A83" s="463"/>
      <c r="B83" s="146"/>
      <c r="C83" s="464"/>
      <c r="D83" s="465"/>
      <c r="E83" s="465"/>
      <c r="F83" s="466"/>
      <c r="G83" s="467"/>
      <c r="H83" s="468"/>
      <c r="I83" s="469" t="s">
        <v>251</v>
      </c>
      <c r="J83" s="470">
        <v>500000</v>
      </c>
      <c r="K83" s="471" t="s">
        <v>159</v>
      </c>
      <c r="L83" s="472" t="s">
        <v>133</v>
      </c>
      <c r="M83" s="473">
        <v>2</v>
      </c>
      <c r="N83" s="473" t="s">
        <v>136</v>
      </c>
      <c r="O83" s="474" t="s">
        <v>148</v>
      </c>
      <c r="P83" s="470">
        <f>J83*M83</f>
        <v>1000000</v>
      </c>
      <c r="Q83" s="475" t="s">
        <v>159</v>
      </c>
      <c r="R83" s="122"/>
      <c r="S83" s="333"/>
      <c r="T83" s="333"/>
    </row>
    <row r="84" spans="1:20" ht="20.100000000000001" customHeight="1">
      <c r="A84" s="476" t="s">
        <v>155</v>
      </c>
      <c r="B84" s="477" t="s">
        <v>179</v>
      </c>
      <c r="C84" s="478"/>
      <c r="D84" s="479">
        <f>+D85+D100+D115+D139+D155+D161+D173+D179+D184+D193+D202</f>
        <v>981949</v>
      </c>
      <c r="E84" s="479">
        <f>+E85+E100+E115+E139+E155+E161+E173+E179+E184+E193+E202</f>
        <v>1714895</v>
      </c>
      <c r="F84" s="480" t="e">
        <f>+F85+F100+F139+#REF!+#REF!+#REF!+F161+F173+F184+#REF!+#REF!+F193+F202+#REF!</f>
        <v>#REF!</v>
      </c>
      <c r="G84" s="481">
        <f>+E84-D84</f>
        <v>732946</v>
      </c>
      <c r="H84" s="482">
        <f>+G84/D84*100</f>
        <v>74.641962057092584</v>
      </c>
      <c r="I84" s="483"/>
      <c r="J84" s="484"/>
      <c r="K84" s="485"/>
      <c r="L84" s="486"/>
      <c r="M84" s="486"/>
      <c r="N84" s="486"/>
      <c r="O84" s="486"/>
      <c r="P84" s="484">
        <f>+P85+P100+P115+P139+P155+P161+P173+P179+P184+P193+P202</f>
        <v>1714895000</v>
      </c>
      <c r="Q84" s="487" t="s">
        <v>159</v>
      </c>
    </row>
    <row r="85" spans="1:20" ht="20.100000000000001" customHeight="1">
      <c r="A85" s="365"/>
      <c r="B85" s="488" t="s">
        <v>298</v>
      </c>
      <c r="C85" s="224" t="s">
        <v>180</v>
      </c>
      <c r="D85" s="489">
        <f>SUM(D86:D97,D98:D99)</f>
        <v>124312</v>
      </c>
      <c r="E85" s="489">
        <f>SUM(E86:E97,E98:E99)</f>
        <v>121422</v>
      </c>
      <c r="F85" s="490">
        <f>SUM(F86:F97)</f>
        <v>59008</v>
      </c>
      <c r="G85" s="491">
        <f>+E85-D85</f>
        <v>-2890</v>
      </c>
      <c r="H85" s="492">
        <f>+G85/D85*100</f>
        <v>-2.3247956753973873</v>
      </c>
      <c r="I85" s="493"/>
      <c r="J85" s="305"/>
      <c r="K85" s="185"/>
      <c r="L85" s="186"/>
      <c r="M85" s="299" t="s">
        <v>173</v>
      </c>
      <c r="N85" s="299"/>
      <c r="O85" s="299"/>
      <c r="P85" s="305">
        <f>SUM(P86,P90,P93,P98)</f>
        <v>121422000</v>
      </c>
      <c r="Q85" s="231" t="s">
        <v>159</v>
      </c>
    </row>
    <row r="86" spans="1:20" ht="15.95" customHeight="1">
      <c r="A86" s="365"/>
      <c r="B86" s="494" t="s">
        <v>365</v>
      </c>
      <c r="C86" s="428" t="s">
        <v>92</v>
      </c>
      <c r="D86" s="495">
        <v>60170</v>
      </c>
      <c r="E86" s="495">
        <f>+P86/1000</f>
        <v>40700</v>
      </c>
      <c r="F86" s="496">
        <v>896</v>
      </c>
      <c r="G86" s="497">
        <f>+E86-D86</f>
        <v>-19470</v>
      </c>
      <c r="H86" s="498">
        <f>+G86/D86*100</f>
        <v>-32.358318098720289</v>
      </c>
      <c r="I86" s="414"/>
      <c r="J86" s="169"/>
      <c r="K86" s="245"/>
      <c r="L86" s="245"/>
      <c r="M86" s="145" t="s">
        <v>173</v>
      </c>
      <c r="N86" s="145"/>
      <c r="O86" s="145"/>
      <c r="P86" s="132">
        <f>SUM(P87:P89)</f>
        <v>40700000</v>
      </c>
      <c r="Q86" s="133" t="s">
        <v>159</v>
      </c>
    </row>
    <row r="87" spans="1:20" ht="15.95" customHeight="1">
      <c r="A87" s="365"/>
      <c r="B87" s="412"/>
      <c r="C87" s="429"/>
      <c r="D87" s="499"/>
      <c r="E87" s="499"/>
      <c r="F87" s="500"/>
      <c r="G87" s="501"/>
      <c r="H87" s="502"/>
      <c r="I87" s="451" t="s">
        <v>124</v>
      </c>
      <c r="J87" s="503">
        <v>40000000</v>
      </c>
      <c r="K87" s="373" t="s">
        <v>159</v>
      </c>
      <c r="L87" s="382" t="s">
        <v>133</v>
      </c>
      <c r="M87" s="374">
        <v>1</v>
      </c>
      <c r="N87" s="374" t="s">
        <v>143</v>
      </c>
      <c r="O87" s="383" t="s">
        <v>148</v>
      </c>
      <c r="P87" s="503">
        <f>SUM(J87*M87)</f>
        <v>40000000</v>
      </c>
      <c r="Q87" s="157" t="s">
        <v>159</v>
      </c>
    </row>
    <row r="88" spans="1:20" ht="15.95" customHeight="1">
      <c r="A88" s="365"/>
      <c r="B88" s="412"/>
      <c r="C88" s="429"/>
      <c r="D88" s="499"/>
      <c r="E88" s="499"/>
      <c r="F88" s="500"/>
      <c r="G88" s="501"/>
      <c r="H88" s="502"/>
      <c r="I88" s="451" t="s">
        <v>425</v>
      </c>
      <c r="J88" s="503">
        <v>0</v>
      </c>
      <c r="K88" s="373" t="s">
        <v>159</v>
      </c>
      <c r="L88" s="382" t="s">
        <v>133</v>
      </c>
      <c r="M88" s="374">
        <v>1</v>
      </c>
      <c r="N88" s="374" t="s">
        <v>143</v>
      </c>
      <c r="O88" s="383" t="s">
        <v>148</v>
      </c>
      <c r="P88" s="503">
        <f>SUM(J88*M88)</f>
        <v>0</v>
      </c>
      <c r="Q88" s="157" t="s">
        <v>159</v>
      </c>
    </row>
    <row r="89" spans="1:20" ht="15.95" customHeight="1">
      <c r="A89" s="365"/>
      <c r="B89" s="146"/>
      <c r="C89" s="504"/>
      <c r="D89" s="505"/>
      <c r="E89" s="505"/>
      <c r="F89" s="506"/>
      <c r="G89" s="507">
        <f>+E89-D89</f>
        <v>0</v>
      </c>
      <c r="H89" s="508" t="e">
        <f>+G89/D89*100</f>
        <v>#DIV/0!</v>
      </c>
      <c r="I89" s="427" t="s">
        <v>411</v>
      </c>
      <c r="J89" s="256">
        <v>350000</v>
      </c>
      <c r="K89" s="408" t="s">
        <v>159</v>
      </c>
      <c r="L89" s="257" t="s">
        <v>133</v>
      </c>
      <c r="M89" s="257">
        <v>2</v>
      </c>
      <c r="N89" s="257" t="s">
        <v>136</v>
      </c>
      <c r="O89" s="259" t="s">
        <v>148</v>
      </c>
      <c r="P89" s="256">
        <f>SUM(J89*M89)</f>
        <v>700000</v>
      </c>
      <c r="Q89" s="260" t="s">
        <v>159</v>
      </c>
    </row>
    <row r="90" spans="1:20" ht="15.95" customHeight="1">
      <c r="A90" s="365"/>
      <c r="B90" s="146"/>
      <c r="C90" s="509" t="s">
        <v>426</v>
      </c>
      <c r="D90" s="54">
        <v>10500</v>
      </c>
      <c r="E90" s="54">
        <f>+P90/1000</f>
        <v>15200</v>
      </c>
      <c r="F90" s="46">
        <v>8000</v>
      </c>
      <c r="G90" s="38">
        <f>+E90-D90</f>
        <v>4700</v>
      </c>
      <c r="H90" s="69">
        <f>+G90/D90*100</f>
        <v>44.761904761904766</v>
      </c>
      <c r="I90" s="396"/>
      <c r="J90" s="169"/>
      <c r="K90" s="245"/>
      <c r="L90" s="168"/>
      <c r="M90" s="145" t="s">
        <v>173</v>
      </c>
      <c r="N90" s="145"/>
      <c r="O90" s="145"/>
      <c r="P90" s="169">
        <f>SUM(P91:P92)</f>
        <v>15200000</v>
      </c>
      <c r="Q90" s="133" t="s">
        <v>159</v>
      </c>
    </row>
    <row r="91" spans="1:20" ht="15.95" customHeight="1">
      <c r="A91" s="365"/>
      <c r="B91" s="146"/>
      <c r="C91" s="510"/>
      <c r="D91" s="55"/>
      <c r="E91" s="55"/>
      <c r="F91" s="47"/>
      <c r="G91" s="39"/>
      <c r="H91" s="511"/>
      <c r="I91" s="394" t="s">
        <v>77</v>
      </c>
      <c r="J91" s="503">
        <v>5000000</v>
      </c>
      <c r="K91" s="373" t="s">
        <v>159</v>
      </c>
      <c r="L91" s="374" t="s">
        <v>133</v>
      </c>
      <c r="M91" s="374">
        <v>1</v>
      </c>
      <c r="N91" s="374" t="s">
        <v>162</v>
      </c>
      <c r="O91" s="374" t="s">
        <v>148</v>
      </c>
      <c r="P91" s="503">
        <f>J91*M91</f>
        <v>5000000</v>
      </c>
      <c r="Q91" s="157" t="s">
        <v>159</v>
      </c>
    </row>
    <row r="92" spans="1:20" ht="15.95" customHeight="1">
      <c r="A92" s="365"/>
      <c r="B92" s="146"/>
      <c r="C92" s="512"/>
      <c r="D92" s="59"/>
      <c r="E92" s="59"/>
      <c r="F92" s="398"/>
      <c r="G92" s="40"/>
      <c r="H92" s="70"/>
      <c r="I92" s="513" t="s">
        <v>73</v>
      </c>
      <c r="J92" s="256">
        <v>5100000</v>
      </c>
      <c r="K92" s="408" t="s">
        <v>159</v>
      </c>
      <c r="L92" s="257" t="s">
        <v>133</v>
      </c>
      <c r="M92" s="257">
        <v>2</v>
      </c>
      <c r="N92" s="257" t="s">
        <v>162</v>
      </c>
      <c r="O92" s="259" t="s">
        <v>148</v>
      </c>
      <c r="P92" s="256">
        <f>SUM(J92*M92)</f>
        <v>10200000</v>
      </c>
      <c r="Q92" s="260" t="s">
        <v>159</v>
      </c>
    </row>
    <row r="93" spans="1:20" ht="15.95" customHeight="1">
      <c r="A93" s="514"/>
      <c r="B93" s="515"/>
      <c r="C93" s="56" t="s">
        <v>438</v>
      </c>
      <c r="D93" s="54">
        <v>53620</v>
      </c>
      <c r="E93" s="54">
        <f>+P93/1000</f>
        <v>65500</v>
      </c>
      <c r="F93" s="46">
        <v>50112</v>
      </c>
      <c r="G93" s="38">
        <f>+E93-D93</f>
        <v>11880</v>
      </c>
      <c r="H93" s="69">
        <f>+G93/D93*100</f>
        <v>22.155911973144349</v>
      </c>
      <c r="I93" s="396"/>
      <c r="J93" s="169"/>
      <c r="K93" s="245"/>
      <c r="L93" s="168"/>
      <c r="M93" s="145" t="s">
        <v>173</v>
      </c>
      <c r="N93" s="145"/>
      <c r="O93" s="145"/>
      <c r="P93" s="169">
        <f>SUM(P94:P97)</f>
        <v>65500000</v>
      </c>
      <c r="Q93" s="133" t="s">
        <v>159</v>
      </c>
    </row>
    <row r="94" spans="1:20" ht="15.95" customHeight="1">
      <c r="A94" s="514"/>
      <c r="B94" s="515"/>
      <c r="C94" s="57"/>
      <c r="D94" s="55"/>
      <c r="E94" s="55"/>
      <c r="F94" s="47"/>
      <c r="G94" s="39">
        <f>+E94-D94</f>
        <v>0</v>
      </c>
      <c r="H94" s="511" t="e">
        <f>+G94/D94*100</f>
        <v>#DIV/0!</v>
      </c>
      <c r="I94" s="395" t="s">
        <v>88</v>
      </c>
      <c r="J94" s="503">
        <v>60000000</v>
      </c>
      <c r="K94" s="373" t="s">
        <v>159</v>
      </c>
      <c r="L94" s="382" t="s">
        <v>133</v>
      </c>
      <c r="M94" s="374">
        <v>1</v>
      </c>
      <c r="N94" s="374" t="s">
        <v>136</v>
      </c>
      <c r="O94" s="374" t="s">
        <v>148</v>
      </c>
      <c r="P94" s="503">
        <f>J94*M94</f>
        <v>60000000</v>
      </c>
      <c r="Q94" s="157" t="s">
        <v>159</v>
      </c>
    </row>
    <row r="95" spans="1:20" ht="15.95" customHeight="1">
      <c r="A95" s="365"/>
      <c r="B95" s="146"/>
      <c r="C95" s="57"/>
      <c r="D95" s="55"/>
      <c r="E95" s="55"/>
      <c r="F95" s="47"/>
      <c r="G95" s="39"/>
      <c r="H95" s="511"/>
      <c r="I95" s="395" t="s">
        <v>95</v>
      </c>
      <c r="J95" s="503">
        <v>0</v>
      </c>
      <c r="K95" s="373" t="s">
        <v>159</v>
      </c>
      <c r="L95" s="382" t="s">
        <v>133</v>
      </c>
      <c r="M95" s="374">
        <v>1</v>
      </c>
      <c r="N95" s="374" t="s">
        <v>136</v>
      </c>
      <c r="O95" s="374" t="s">
        <v>148</v>
      </c>
      <c r="P95" s="503">
        <f>J95*M95</f>
        <v>0</v>
      </c>
      <c r="Q95" s="157" t="s">
        <v>159</v>
      </c>
    </row>
    <row r="96" spans="1:20" ht="15.95" customHeight="1">
      <c r="A96" s="365"/>
      <c r="B96" s="146"/>
      <c r="C96" s="57"/>
      <c r="D96" s="55"/>
      <c r="E96" s="55"/>
      <c r="F96" s="47"/>
      <c r="G96" s="39"/>
      <c r="H96" s="511"/>
      <c r="I96" s="395" t="s">
        <v>91</v>
      </c>
      <c r="J96" s="503">
        <v>1000000</v>
      </c>
      <c r="K96" s="373" t="s">
        <v>159</v>
      </c>
      <c r="L96" s="382" t="s">
        <v>133</v>
      </c>
      <c r="M96" s="374">
        <v>1</v>
      </c>
      <c r="N96" s="374" t="s">
        <v>143</v>
      </c>
      <c r="O96" s="374" t="s">
        <v>148</v>
      </c>
      <c r="P96" s="503">
        <f>J96*M96</f>
        <v>1000000</v>
      </c>
      <c r="Q96" s="157" t="s">
        <v>159</v>
      </c>
    </row>
    <row r="97" spans="1:17" ht="15.95" customHeight="1">
      <c r="A97" s="365"/>
      <c r="B97" s="146"/>
      <c r="C97" s="58"/>
      <c r="D97" s="59"/>
      <c r="E97" s="59"/>
      <c r="F97" s="398"/>
      <c r="G97" s="40">
        <f>+E97-D97</f>
        <v>0</v>
      </c>
      <c r="H97" s="70" t="e">
        <f>+G97/D97*100</f>
        <v>#DIV/0!</v>
      </c>
      <c r="I97" s="407" t="s">
        <v>283</v>
      </c>
      <c r="J97" s="256">
        <v>4500000</v>
      </c>
      <c r="K97" s="408" t="s">
        <v>159</v>
      </c>
      <c r="L97" s="258" t="s">
        <v>152</v>
      </c>
      <c r="M97" s="257">
        <v>1</v>
      </c>
      <c r="N97" s="257" t="s">
        <v>136</v>
      </c>
      <c r="O97" s="259" t="s">
        <v>148</v>
      </c>
      <c r="P97" s="256">
        <f>SUM(J97*M97)</f>
        <v>4500000</v>
      </c>
      <c r="Q97" s="260" t="s">
        <v>159</v>
      </c>
    </row>
    <row r="98" spans="1:17" ht="15.95" customHeight="1">
      <c r="A98" s="514"/>
      <c r="B98" s="412"/>
      <c r="C98" s="56" t="s">
        <v>419</v>
      </c>
      <c r="D98" s="54">
        <v>22</v>
      </c>
      <c r="E98" s="54">
        <f>P98/1000</f>
        <v>22</v>
      </c>
      <c r="F98" s="385"/>
      <c r="G98" s="38">
        <f>E98-D98</f>
        <v>0</v>
      </c>
      <c r="H98" s="69">
        <f>G98/D98*100</f>
        <v>0</v>
      </c>
      <c r="I98" s="394"/>
      <c r="J98" s="503"/>
      <c r="K98" s="373"/>
      <c r="L98" s="382"/>
      <c r="M98" s="145" t="s">
        <v>173</v>
      </c>
      <c r="N98" s="145"/>
      <c r="O98" s="145"/>
      <c r="P98" s="503">
        <f>SUM(P99:P99)</f>
        <v>22000</v>
      </c>
      <c r="Q98" s="157" t="s">
        <v>159</v>
      </c>
    </row>
    <row r="99" spans="1:17" ht="15.95" customHeight="1">
      <c r="A99" s="514"/>
      <c r="B99" s="208"/>
      <c r="C99" s="386"/>
      <c r="D99" s="59"/>
      <c r="E99" s="59"/>
      <c r="F99" s="385"/>
      <c r="G99" s="40"/>
      <c r="H99" s="70"/>
      <c r="I99" s="513" t="s">
        <v>432</v>
      </c>
      <c r="J99" s="256">
        <v>22000</v>
      </c>
      <c r="K99" s="408" t="s">
        <v>159</v>
      </c>
      <c r="L99" s="258" t="s">
        <v>133</v>
      </c>
      <c r="M99" s="257">
        <v>1</v>
      </c>
      <c r="N99" s="257" t="s">
        <v>136</v>
      </c>
      <c r="O99" s="257" t="s">
        <v>148</v>
      </c>
      <c r="P99" s="256">
        <f>J99*M99</f>
        <v>22000</v>
      </c>
      <c r="Q99" s="260" t="s">
        <v>159</v>
      </c>
    </row>
    <row r="100" spans="1:17" ht="20.100000000000001" customHeight="1">
      <c r="A100" s="514" t="s">
        <v>467</v>
      </c>
      <c r="B100" s="135" t="s">
        <v>308</v>
      </c>
      <c r="C100" s="516" t="s">
        <v>381</v>
      </c>
      <c r="D100" s="517">
        <f>SUM(D101:D113)</f>
        <v>96329</v>
      </c>
      <c r="E100" s="517">
        <f>P100/1000</f>
        <v>96250</v>
      </c>
      <c r="F100" s="518">
        <f>SUM(F101:F115)</f>
        <v>161152</v>
      </c>
      <c r="G100" s="519">
        <f>+E100-D100</f>
        <v>-79</v>
      </c>
      <c r="H100" s="520">
        <f>+G100/D100*100</f>
        <v>-8.2010609473782553E-2</v>
      </c>
      <c r="I100" s="407"/>
      <c r="J100" s="165"/>
      <c r="K100" s="408"/>
      <c r="L100" s="408"/>
      <c r="M100" s="521"/>
      <c r="N100" s="521"/>
      <c r="O100" s="521"/>
      <c r="P100" s="522">
        <f>SUM(P101,P104,P106,P110,P113)</f>
        <v>96250000</v>
      </c>
      <c r="Q100" s="260" t="s">
        <v>159</v>
      </c>
    </row>
    <row r="101" spans="1:17" ht="15.75" customHeight="1">
      <c r="A101" s="365"/>
      <c r="B101" s="242"/>
      <c r="C101" s="375" t="s">
        <v>287</v>
      </c>
      <c r="D101" s="54">
        <v>19746</v>
      </c>
      <c r="E101" s="54">
        <f>+P101/1000</f>
        <v>19850</v>
      </c>
      <c r="F101" s="46">
        <v>96000</v>
      </c>
      <c r="G101" s="38">
        <f>+E101-D101</f>
        <v>104</v>
      </c>
      <c r="H101" s="69">
        <f>+G101/D101*100</f>
        <v>0.5266889496606908</v>
      </c>
      <c r="I101" s="414"/>
      <c r="J101" s="169"/>
      <c r="K101" s="245"/>
      <c r="L101" s="168"/>
      <c r="M101" s="145" t="s">
        <v>173</v>
      </c>
      <c r="N101" s="145"/>
      <c r="O101" s="145"/>
      <c r="P101" s="132">
        <f>SUM(P102:P103)</f>
        <v>19850000</v>
      </c>
      <c r="Q101" s="133" t="s">
        <v>159</v>
      </c>
    </row>
    <row r="102" spans="1:17" ht="15.75" customHeight="1">
      <c r="A102" s="365"/>
      <c r="B102" s="146"/>
      <c r="C102" s="62"/>
      <c r="D102" s="55"/>
      <c r="E102" s="55"/>
      <c r="F102" s="47"/>
      <c r="G102" s="39"/>
      <c r="H102" s="511"/>
      <c r="I102" s="394" t="s">
        <v>109</v>
      </c>
      <c r="J102" s="503">
        <v>100000</v>
      </c>
      <c r="K102" s="373" t="s">
        <v>159</v>
      </c>
      <c r="L102" s="382" t="s">
        <v>133</v>
      </c>
      <c r="M102" s="374">
        <v>2</v>
      </c>
      <c r="N102" s="374" t="s">
        <v>136</v>
      </c>
      <c r="O102" s="374" t="s">
        <v>148</v>
      </c>
      <c r="P102" s="430">
        <f>J102*M102</f>
        <v>200000</v>
      </c>
      <c r="Q102" s="157" t="s">
        <v>159</v>
      </c>
    </row>
    <row r="103" spans="1:17" ht="15.75" customHeight="1">
      <c r="A103" s="365"/>
      <c r="B103" s="146"/>
      <c r="C103" s="386"/>
      <c r="D103" s="59"/>
      <c r="E103" s="59"/>
      <c r="F103" s="398"/>
      <c r="G103" s="40"/>
      <c r="H103" s="70"/>
      <c r="I103" s="427" t="s">
        <v>233</v>
      </c>
      <c r="J103" s="256">
        <v>4950000</v>
      </c>
      <c r="K103" s="408" t="s">
        <v>159</v>
      </c>
      <c r="L103" s="258" t="s">
        <v>133</v>
      </c>
      <c r="M103" s="257">
        <v>4</v>
      </c>
      <c r="N103" s="257" t="s">
        <v>136</v>
      </c>
      <c r="O103" s="259" t="s">
        <v>148</v>
      </c>
      <c r="P103" s="256">
        <v>19650000</v>
      </c>
      <c r="Q103" s="260" t="s">
        <v>159</v>
      </c>
    </row>
    <row r="104" spans="1:17" ht="15.75" customHeight="1">
      <c r="A104" s="365"/>
      <c r="B104" s="146"/>
      <c r="C104" s="523" t="s">
        <v>389</v>
      </c>
      <c r="D104" s="63">
        <v>18000</v>
      </c>
      <c r="E104" s="63">
        <f>+P104/1000</f>
        <v>18000</v>
      </c>
      <c r="F104" s="51">
        <v>11052</v>
      </c>
      <c r="G104" s="71">
        <f>+E104-D104</f>
        <v>0</v>
      </c>
      <c r="H104" s="524">
        <f>+G104/D104*100</f>
        <v>0</v>
      </c>
      <c r="I104" s="396"/>
      <c r="J104" s="169"/>
      <c r="K104" s="245"/>
      <c r="L104" s="168"/>
      <c r="M104" s="145" t="s">
        <v>173</v>
      </c>
      <c r="N104" s="145"/>
      <c r="O104" s="145"/>
      <c r="P104" s="169">
        <f>SUM(P105:P105)</f>
        <v>18000000</v>
      </c>
      <c r="Q104" s="133" t="s">
        <v>159</v>
      </c>
    </row>
    <row r="105" spans="1:17" ht="15.75" customHeight="1">
      <c r="A105" s="365"/>
      <c r="B105" s="146"/>
      <c r="C105" s="523"/>
      <c r="D105" s="63"/>
      <c r="E105" s="63"/>
      <c r="F105" s="51"/>
      <c r="G105" s="71"/>
      <c r="H105" s="524"/>
      <c r="I105" s="395" t="s">
        <v>404</v>
      </c>
      <c r="J105" s="503">
        <v>1500000</v>
      </c>
      <c r="K105" s="373" t="s">
        <v>159</v>
      </c>
      <c r="L105" s="382" t="s">
        <v>133</v>
      </c>
      <c r="M105" s="374">
        <v>12</v>
      </c>
      <c r="N105" s="374" t="s">
        <v>136</v>
      </c>
      <c r="O105" s="374" t="s">
        <v>148</v>
      </c>
      <c r="P105" s="503">
        <f>SUM(J105*M105)</f>
        <v>18000000</v>
      </c>
      <c r="Q105" s="157" t="s">
        <v>159</v>
      </c>
    </row>
    <row r="106" spans="1:17" ht="15.95" customHeight="1">
      <c r="A106" s="514"/>
      <c r="B106" s="242"/>
      <c r="C106" s="375" t="s">
        <v>220</v>
      </c>
      <c r="D106" s="54">
        <v>26083</v>
      </c>
      <c r="E106" s="54">
        <f>+P106/1000</f>
        <v>26000</v>
      </c>
      <c r="F106" s="51">
        <v>20000</v>
      </c>
      <c r="G106" s="38">
        <f>+E106-D106</f>
        <v>-83</v>
      </c>
      <c r="H106" s="41">
        <f>+G106/D106*100</f>
        <v>-0.31821492926427175</v>
      </c>
      <c r="I106" s="396"/>
      <c r="J106" s="169"/>
      <c r="K106" s="245"/>
      <c r="L106" s="168"/>
      <c r="M106" s="145" t="s">
        <v>173</v>
      </c>
      <c r="N106" s="145"/>
      <c r="O106" s="145"/>
      <c r="P106" s="169">
        <f>SUM(P107:P109)</f>
        <v>26000000</v>
      </c>
      <c r="Q106" s="133" t="s">
        <v>159</v>
      </c>
    </row>
    <row r="107" spans="1:17" ht="15.95" customHeight="1">
      <c r="A107" s="365"/>
      <c r="B107" s="242"/>
      <c r="C107" s="62"/>
      <c r="D107" s="55"/>
      <c r="E107" s="55"/>
      <c r="F107" s="51"/>
      <c r="G107" s="39"/>
      <c r="H107" s="42"/>
      <c r="I107" s="395" t="s">
        <v>238</v>
      </c>
      <c r="J107" s="503"/>
      <c r="K107" s="373" t="s">
        <v>159</v>
      </c>
      <c r="L107" s="382" t="s">
        <v>133</v>
      </c>
      <c r="M107" s="374"/>
      <c r="N107" s="374" t="s">
        <v>136</v>
      </c>
      <c r="O107" s="383" t="s">
        <v>148</v>
      </c>
      <c r="P107" s="503">
        <f>SUM(J107*M107)</f>
        <v>0</v>
      </c>
      <c r="Q107" s="157" t="s">
        <v>159</v>
      </c>
    </row>
    <row r="108" spans="1:17" ht="15.95" customHeight="1">
      <c r="A108" s="365"/>
      <c r="B108" s="525"/>
      <c r="C108" s="62"/>
      <c r="D108" s="55"/>
      <c r="E108" s="55"/>
      <c r="F108" s="51"/>
      <c r="G108" s="39"/>
      <c r="H108" s="42"/>
      <c r="I108" s="395" t="s">
        <v>387</v>
      </c>
      <c r="J108" s="503">
        <v>12000000</v>
      </c>
      <c r="K108" s="373" t="s">
        <v>159</v>
      </c>
      <c r="L108" s="382" t="s">
        <v>133</v>
      </c>
      <c r="M108" s="374">
        <v>2</v>
      </c>
      <c r="N108" s="374" t="s">
        <v>136</v>
      </c>
      <c r="O108" s="383" t="s">
        <v>148</v>
      </c>
      <c r="P108" s="503">
        <v>23000000</v>
      </c>
      <c r="Q108" s="157" t="s">
        <v>159</v>
      </c>
    </row>
    <row r="109" spans="1:17" ht="15.95" customHeight="1">
      <c r="A109" s="365"/>
      <c r="B109" s="525"/>
      <c r="C109" s="386"/>
      <c r="D109" s="59"/>
      <c r="E109" s="59"/>
      <c r="F109" s="14"/>
      <c r="G109" s="40"/>
      <c r="H109" s="43"/>
      <c r="I109" s="395" t="s">
        <v>380</v>
      </c>
      <c r="J109" s="503">
        <v>3000000</v>
      </c>
      <c r="K109" s="373" t="s">
        <v>159</v>
      </c>
      <c r="L109" s="382" t="s">
        <v>133</v>
      </c>
      <c r="M109" s="374">
        <v>1</v>
      </c>
      <c r="N109" s="374" t="s">
        <v>136</v>
      </c>
      <c r="O109" s="383" t="s">
        <v>148</v>
      </c>
      <c r="P109" s="503">
        <f>SUM(J109*M109)</f>
        <v>3000000</v>
      </c>
      <c r="Q109" s="157" t="s">
        <v>159</v>
      </c>
    </row>
    <row r="110" spans="1:17" ht="15.95" customHeight="1">
      <c r="A110" s="365"/>
      <c r="B110" s="525"/>
      <c r="C110" s="375" t="s">
        <v>222</v>
      </c>
      <c r="D110" s="54">
        <v>22900</v>
      </c>
      <c r="E110" s="54">
        <f>+P110/1000</f>
        <v>22800</v>
      </c>
      <c r="F110" s="14"/>
      <c r="G110" s="38">
        <f>+E110-D110</f>
        <v>-100</v>
      </c>
      <c r="H110" s="526">
        <f>+G110/D110*100</f>
        <v>-0.43668122270742354</v>
      </c>
      <c r="I110" s="396"/>
      <c r="J110" s="169"/>
      <c r="K110" s="245"/>
      <c r="L110" s="168"/>
      <c r="M110" s="145" t="s">
        <v>173</v>
      </c>
      <c r="N110" s="145"/>
      <c r="O110" s="145"/>
      <c r="P110" s="169">
        <f>SUM(P111:P112)</f>
        <v>22800000</v>
      </c>
      <c r="Q110" s="133" t="s">
        <v>159</v>
      </c>
    </row>
    <row r="111" spans="1:17" ht="15.95" customHeight="1">
      <c r="A111" s="365"/>
      <c r="B111" s="146"/>
      <c r="C111" s="62"/>
      <c r="D111" s="55"/>
      <c r="E111" s="55"/>
      <c r="F111" s="527">
        <v>16000</v>
      </c>
      <c r="G111" s="39"/>
      <c r="H111" s="528"/>
      <c r="I111" s="395" t="s">
        <v>238</v>
      </c>
      <c r="J111" s="503">
        <v>0</v>
      </c>
      <c r="K111" s="373" t="s">
        <v>159</v>
      </c>
      <c r="L111" s="382" t="s">
        <v>133</v>
      </c>
      <c r="M111" s="374"/>
      <c r="N111" s="374" t="s">
        <v>136</v>
      </c>
      <c r="O111" s="383" t="s">
        <v>148</v>
      </c>
      <c r="P111" s="503">
        <f>SUM(J111*M111)</f>
        <v>0</v>
      </c>
      <c r="Q111" s="157" t="s">
        <v>159</v>
      </c>
    </row>
    <row r="112" spans="1:17" ht="15.95" customHeight="1">
      <c r="A112" s="365"/>
      <c r="B112" s="146"/>
      <c r="C112" s="386"/>
      <c r="D112" s="59"/>
      <c r="E112" s="59"/>
      <c r="F112" s="518"/>
      <c r="G112" s="40"/>
      <c r="H112" s="529"/>
      <c r="I112" s="450" t="s">
        <v>387</v>
      </c>
      <c r="J112" s="530">
        <v>5700000</v>
      </c>
      <c r="K112" s="408" t="s">
        <v>159</v>
      </c>
      <c r="L112" s="258" t="s">
        <v>133</v>
      </c>
      <c r="M112" s="257">
        <v>4</v>
      </c>
      <c r="N112" s="257" t="s">
        <v>136</v>
      </c>
      <c r="O112" s="259" t="s">
        <v>148</v>
      </c>
      <c r="P112" s="530">
        <f>SUM(J112*M112)</f>
        <v>22800000</v>
      </c>
      <c r="Q112" s="260" t="s">
        <v>159</v>
      </c>
    </row>
    <row r="113" spans="1:17" ht="15.95" customHeight="1">
      <c r="A113" s="365"/>
      <c r="B113" s="146"/>
      <c r="C113" s="418" t="s">
        <v>240</v>
      </c>
      <c r="D113" s="54">
        <v>9600</v>
      </c>
      <c r="E113" s="54">
        <f>+P113/1000</f>
        <v>9600</v>
      </c>
      <c r="F113" s="46">
        <v>18100</v>
      </c>
      <c r="G113" s="38">
        <f>+E113-D113</f>
        <v>0</v>
      </c>
      <c r="H113" s="69">
        <f>+G113/D113*100</f>
        <v>0</v>
      </c>
      <c r="I113" s="414"/>
      <c r="J113" s="169"/>
      <c r="K113" s="245"/>
      <c r="L113" s="168"/>
      <c r="M113" s="145" t="s">
        <v>173</v>
      </c>
      <c r="N113" s="145"/>
      <c r="O113" s="145"/>
      <c r="P113" s="169">
        <f>SUM(P114:P114)</f>
        <v>9600000</v>
      </c>
      <c r="Q113" s="133" t="s">
        <v>159</v>
      </c>
    </row>
    <row r="114" spans="1:17" ht="15.95" customHeight="1">
      <c r="A114" s="365"/>
      <c r="B114" s="285"/>
      <c r="C114" s="426"/>
      <c r="D114" s="59"/>
      <c r="E114" s="59"/>
      <c r="F114" s="398"/>
      <c r="G114" s="40">
        <f>+E114-D114</f>
        <v>0</v>
      </c>
      <c r="H114" s="70" t="e">
        <f>+G114/D114*100</f>
        <v>#DIV/0!</v>
      </c>
      <c r="I114" s="427" t="s">
        <v>233</v>
      </c>
      <c r="J114" s="256">
        <v>2400000</v>
      </c>
      <c r="K114" s="408" t="s">
        <v>159</v>
      </c>
      <c r="L114" s="258" t="s">
        <v>133</v>
      </c>
      <c r="M114" s="257">
        <v>4</v>
      </c>
      <c r="N114" s="257" t="s">
        <v>136</v>
      </c>
      <c r="O114" s="259" t="s">
        <v>148</v>
      </c>
      <c r="P114" s="256">
        <f>SUM(J114*M114)</f>
        <v>9600000</v>
      </c>
      <c r="Q114" s="260" t="s">
        <v>159</v>
      </c>
    </row>
    <row r="115" spans="1:17" ht="20.100000000000001" customHeight="1">
      <c r="A115" s="514"/>
      <c r="B115" s="531" t="s">
        <v>388</v>
      </c>
      <c r="C115" s="532" t="s">
        <v>180</v>
      </c>
      <c r="D115" s="20">
        <f>SUM(D116:D137)</f>
        <v>263802</v>
      </c>
      <c r="E115" s="20">
        <f>P115/1000</f>
        <v>955489</v>
      </c>
      <c r="F115" s="15"/>
      <c r="G115" s="13">
        <f>E115-D115</f>
        <v>691687</v>
      </c>
      <c r="H115" s="533">
        <f>G115/D115*100</f>
        <v>262.1993009908947</v>
      </c>
      <c r="I115" s="394"/>
      <c r="J115" s="503"/>
      <c r="K115" s="373"/>
      <c r="L115" s="382"/>
      <c r="M115" s="299"/>
      <c r="N115" s="299"/>
      <c r="O115" s="299"/>
      <c r="P115" s="503">
        <f>SUM(P116,P119,P121,P127,P129,P131,P133,P135)</f>
        <v>955489000</v>
      </c>
      <c r="Q115" s="260" t="s">
        <v>159</v>
      </c>
    </row>
    <row r="116" spans="1:17" ht="15.95" customHeight="1">
      <c r="A116" s="365"/>
      <c r="B116" s="515" t="s">
        <v>382</v>
      </c>
      <c r="C116" s="375" t="s">
        <v>302</v>
      </c>
      <c r="D116" s="54">
        <v>20500</v>
      </c>
      <c r="E116" s="54">
        <f>P116/1000</f>
        <v>20500</v>
      </c>
      <c r="F116" s="14"/>
      <c r="G116" s="38">
        <f>E116-D116</f>
        <v>0</v>
      </c>
      <c r="H116" s="69">
        <f>G116/D116*100</f>
        <v>0</v>
      </c>
      <c r="I116" s="414"/>
      <c r="J116" s="169"/>
      <c r="K116" s="245"/>
      <c r="L116" s="168"/>
      <c r="M116" s="145" t="s">
        <v>173</v>
      </c>
      <c r="N116" s="145"/>
      <c r="O116" s="145"/>
      <c r="P116" s="169">
        <f>SUM(P117:P118)</f>
        <v>20500000</v>
      </c>
      <c r="Q116" s="133" t="s">
        <v>159</v>
      </c>
    </row>
    <row r="117" spans="1:17" ht="15.95" customHeight="1">
      <c r="A117" s="365"/>
      <c r="B117" s="534"/>
      <c r="C117" s="62"/>
      <c r="D117" s="55"/>
      <c r="E117" s="55"/>
      <c r="F117" s="15"/>
      <c r="G117" s="39"/>
      <c r="H117" s="511"/>
      <c r="I117" s="394" t="s">
        <v>437</v>
      </c>
      <c r="J117" s="503">
        <v>20000000</v>
      </c>
      <c r="K117" s="373" t="s">
        <v>159</v>
      </c>
      <c r="L117" s="382" t="s">
        <v>133</v>
      </c>
      <c r="M117" s="374">
        <v>1</v>
      </c>
      <c r="N117" s="374" t="s">
        <v>136</v>
      </c>
      <c r="O117" s="383" t="s">
        <v>148</v>
      </c>
      <c r="P117" s="503">
        <f>SUM(J117*M117)</f>
        <v>20000000</v>
      </c>
      <c r="Q117" s="157" t="s">
        <v>159</v>
      </c>
    </row>
    <row r="118" spans="1:17" ht="15.95" customHeight="1">
      <c r="A118" s="365"/>
      <c r="B118" s="534"/>
      <c r="C118" s="386"/>
      <c r="D118" s="59"/>
      <c r="E118" s="59"/>
      <c r="F118" s="385"/>
      <c r="G118" s="40"/>
      <c r="H118" s="511"/>
      <c r="I118" s="427" t="s">
        <v>78</v>
      </c>
      <c r="J118" s="256">
        <v>250000</v>
      </c>
      <c r="K118" s="408" t="s">
        <v>159</v>
      </c>
      <c r="L118" s="258" t="s">
        <v>133</v>
      </c>
      <c r="M118" s="257">
        <v>2</v>
      </c>
      <c r="N118" s="257" t="s">
        <v>136</v>
      </c>
      <c r="O118" s="259" t="s">
        <v>148</v>
      </c>
      <c r="P118" s="256">
        <f>SUM(J118*M118)</f>
        <v>500000</v>
      </c>
      <c r="Q118" s="260" t="s">
        <v>159</v>
      </c>
    </row>
    <row r="119" spans="1:17" ht="15.95" customHeight="1">
      <c r="A119" s="365"/>
      <c r="B119" s="146"/>
      <c r="C119" s="375" t="s">
        <v>279</v>
      </c>
      <c r="D119" s="54">
        <v>100</v>
      </c>
      <c r="E119" s="54">
        <f>+P119/1000</f>
        <v>100</v>
      </c>
      <c r="F119" s="46">
        <v>0</v>
      </c>
      <c r="G119" s="38">
        <f>+E119-D119</f>
        <v>0</v>
      </c>
      <c r="H119" s="41">
        <f>+G119/D119*100</f>
        <v>0</v>
      </c>
      <c r="I119" s="414"/>
      <c r="J119" s="169"/>
      <c r="K119" s="245"/>
      <c r="L119" s="168"/>
      <c r="M119" s="145" t="s">
        <v>173</v>
      </c>
      <c r="N119" s="145"/>
      <c r="O119" s="145"/>
      <c r="P119" s="169">
        <f>SUM(P120)</f>
        <v>100000</v>
      </c>
      <c r="Q119" s="133" t="s">
        <v>159</v>
      </c>
    </row>
    <row r="120" spans="1:17" ht="15.95" customHeight="1">
      <c r="A120" s="365"/>
      <c r="B120" s="146"/>
      <c r="C120" s="386"/>
      <c r="D120" s="59"/>
      <c r="E120" s="59"/>
      <c r="F120" s="398"/>
      <c r="G120" s="40"/>
      <c r="H120" s="43"/>
      <c r="I120" s="427" t="s">
        <v>1</v>
      </c>
      <c r="J120" s="256">
        <v>10000</v>
      </c>
      <c r="K120" s="408" t="s">
        <v>159</v>
      </c>
      <c r="L120" s="258" t="s">
        <v>133</v>
      </c>
      <c r="M120" s="257">
        <v>10</v>
      </c>
      <c r="N120" s="257" t="s">
        <v>136</v>
      </c>
      <c r="O120" s="259" t="s">
        <v>148</v>
      </c>
      <c r="P120" s="256">
        <f>SUM(J120*M120)</f>
        <v>100000</v>
      </c>
      <c r="Q120" s="260" t="s">
        <v>159</v>
      </c>
    </row>
    <row r="121" spans="1:17" ht="15.95" customHeight="1">
      <c r="A121" s="365"/>
      <c r="B121" s="534"/>
      <c r="C121" s="56" t="s">
        <v>75</v>
      </c>
      <c r="D121" s="54">
        <v>26016</v>
      </c>
      <c r="E121" s="54">
        <f>P121/1000</f>
        <v>28089</v>
      </c>
      <c r="F121" s="15"/>
      <c r="G121" s="38">
        <f>E121-D121</f>
        <v>2073</v>
      </c>
      <c r="H121" s="41">
        <f>G121/D121*100</f>
        <v>7.9681734317343169</v>
      </c>
      <c r="I121" s="394"/>
      <c r="J121" s="503"/>
      <c r="K121" s="373"/>
      <c r="L121" s="382"/>
      <c r="M121" s="431" t="s">
        <v>173</v>
      </c>
      <c r="N121" s="431"/>
      <c r="O121" s="431"/>
      <c r="P121" s="503">
        <f>SUM(P122:P126)</f>
        <v>28089000</v>
      </c>
      <c r="Q121" s="157" t="s">
        <v>159</v>
      </c>
    </row>
    <row r="122" spans="1:17" ht="15.95" customHeight="1">
      <c r="A122" s="365"/>
      <c r="B122" s="534"/>
      <c r="C122" s="57"/>
      <c r="D122" s="55"/>
      <c r="E122" s="55"/>
      <c r="F122" s="15"/>
      <c r="G122" s="39"/>
      <c r="H122" s="42"/>
      <c r="I122" s="394" t="s">
        <v>291</v>
      </c>
      <c r="J122" s="503">
        <v>1134286</v>
      </c>
      <c r="K122" s="373" t="s">
        <v>159</v>
      </c>
      <c r="L122" s="382" t="s">
        <v>133</v>
      </c>
      <c r="M122" s="374">
        <v>7</v>
      </c>
      <c r="N122" s="374" t="s">
        <v>162</v>
      </c>
      <c r="O122" s="383" t="s">
        <v>148</v>
      </c>
      <c r="P122" s="535">
        <v>7940000</v>
      </c>
      <c r="Q122" s="157" t="s">
        <v>159</v>
      </c>
    </row>
    <row r="123" spans="1:17" ht="15.95" customHeight="1">
      <c r="A123" s="365"/>
      <c r="B123" s="534"/>
      <c r="C123" s="57"/>
      <c r="D123" s="55"/>
      <c r="E123" s="55"/>
      <c r="F123" s="15"/>
      <c r="G123" s="39"/>
      <c r="H123" s="42"/>
      <c r="I123" s="394" t="s">
        <v>340</v>
      </c>
      <c r="J123" s="503">
        <v>972714</v>
      </c>
      <c r="K123" s="373" t="s">
        <v>159</v>
      </c>
      <c r="L123" s="382" t="s">
        <v>133</v>
      </c>
      <c r="M123" s="374">
        <v>7</v>
      </c>
      <c r="N123" s="374" t="s">
        <v>162</v>
      </c>
      <c r="O123" s="383" t="s">
        <v>148</v>
      </c>
      <c r="P123" s="503">
        <v>6809000</v>
      </c>
      <c r="Q123" s="157" t="s">
        <v>159</v>
      </c>
    </row>
    <row r="124" spans="1:17" ht="15.95" customHeight="1">
      <c r="A124" s="365"/>
      <c r="B124" s="534"/>
      <c r="C124" s="57"/>
      <c r="D124" s="55"/>
      <c r="E124" s="55"/>
      <c r="F124" s="15"/>
      <c r="G124" s="39"/>
      <c r="H124" s="42"/>
      <c r="I124" s="394" t="s">
        <v>370</v>
      </c>
      <c r="J124" s="503">
        <v>614286</v>
      </c>
      <c r="K124" s="373" t="s">
        <v>159</v>
      </c>
      <c r="L124" s="382" t="s">
        <v>133</v>
      </c>
      <c r="M124" s="374">
        <v>7</v>
      </c>
      <c r="N124" s="374" t="s">
        <v>162</v>
      </c>
      <c r="O124" s="383" t="s">
        <v>148</v>
      </c>
      <c r="P124" s="503">
        <v>4300000</v>
      </c>
      <c r="Q124" s="157" t="s">
        <v>159</v>
      </c>
    </row>
    <row r="125" spans="1:17" ht="15.95" customHeight="1">
      <c r="A125" s="365"/>
      <c r="B125" s="534"/>
      <c r="C125" s="57"/>
      <c r="D125" s="55"/>
      <c r="E125" s="55"/>
      <c r="F125" s="15"/>
      <c r="G125" s="39"/>
      <c r="H125" s="42"/>
      <c r="I125" s="394" t="s">
        <v>311</v>
      </c>
      <c r="J125" s="503">
        <v>2600000</v>
      </c>
      <c r="K125" s="373" t="s">
        <v>159</v>
      </c>
      <c r="L125" s="382" t="s">
        <v>133</v>
      </c>
      <c r="M125" s="374">
        <v>1</v>
      </c>
      <c r="N125" s="374" t="s">
        <v>136</v>
      </c>
      <c r="O125" s="383" t="s">
        <v>148</v>
      </c>
      <c r="P125" s="503">
        <v>2600000</v>
      </c>
      <c r="Q125" s="157" t="s">
        <v>159</v>
      </c>
    </row>
    <row r="126" spans="1:17" ht="15.95" customHeight="1">
      <c r="A126" s="365"/>
      <c r="B126" s="534"/>
      <c r="C126" s="58"/>
      <c r="D126" s="59"/>
      <c r="E126" s="59"/>
      <c r="F126" s="15"/>
      <c r="G126" s="40"/>
      <c r="H126" s="43"/>
      <c r="I126" s="394" t="s">
        <v>111</v>
      </c>
      <c r="J126" s="503">
        <v>920000</v>
      </c>
      <c r="K126" s="373" t="s">
        <v>159</v>
      </c>
      <c r="L126" s="382" t="s">
        <v>133</v>
      </c>
      <c r="M126" s="374">
        <v>7</v>
      </c>
      <c r="N126" s="374" t="s">
        <v>162</v>
      </c>
      <c r="O126" s="383" t="s">
        <v>148</v>
      </c>
      <c r="P126" s="503">
        <v>6440000</v>
      </c>
      <c r="Q126" s="157" t="s">
        <v>159</v>
      </c>
    </row>
    <row r="127" spans="1:17" ht="15.95" customHeight="1">
      <c r="A127" s="365"/>
      <c r="B127" s="534"/>
      <c r="C127" s="56" t="s">
        <v>94</v>
      </c>
      <c r="D127" s="54">
        <v>0</v>
      </c>
      <c r="E127" s="54">
        <f>P127/1000</f>
        <v>0</v>
      </c>
      <c r="F127" s="46">
        <v>-1</v>
      </c>
      <c r="G127" s="38">
        <f>+E127-D127</f>
        <v>0</v>
      </c>
      <c r="H127" s="69">
        <v>0</v>
      </c>
      <c r="I127" s="414"/>
      <c r="J127" s="169"/>
      <c r="K127" s="245"/>
      <c r="L127" s="168"/>
      <c r="M127" s="145" t="s">
        <v>173</v>
      </c>
      <c r="N127" s="145"/>
      <c r="O127" s="145"/>
      <c r="P127" s="169">
        <f>SUM(P128:P128)</f>
        <v>0</v>
      </c>
      <c r="Q127" s="133" t="s">
        <v>159</v>
      </c>
    </row>
    <row r="128" spans="1:17" ht="15.95" customHeight="1">
      <c r="A128" s="365"/>
      <c r="B128" s="534"/>
      <c r="C128" s="62"/>
      <c r="D128" s="55"/>
      <c r="E128" s="55"/>
      <c r="F128" s="47"/>
      <c r="G128" s="39"/>
      <c r="H128" s="70"/>
      <c r="I128" s="394" t="s">
        <v>415</v>
      </c>
      <c r="J128" s="503">
        <v>0</v>
      </c>
      <c r="K128" s="373" t="s">
        <v>159</v>
      </c>
      <c r="L128" s="382" t="s">
        <v>133</v>
      </c>
      <c r="M128" s="374">
        <v>1</v>
      </c>
      <c r="N128" s="374" t="s">
        <v>136</v>
      </c>
      <c r="O128" s="383" t="s">
        <v>148</v>
      </c>
      <c r="P128" s="503">
        <f>J128*M128</f>
        <v>0</v>
      </c>
      <c r="Q128" s="157" t="s">
        <v>159</v>
      </c>
    </row>
    <row r="129" spans="1:17" ht="15.95" customHeight="1">
      <c r="A129" s="365"/>
      <c r="B129" s="534"/>
      <c r="C129" s="60" t="s">
        <v>63</v>
      </c>
      <c r="D129" s="63">
        <v>28800</v>
      </c>
      <c r="E129" s="63">
        <f>+P129/1000</f>
        <v>34500</v>
      </c>
      <c r="F129" s="51">
        <v>0</v>
      </c>
      <c r="G129" s="71">
        <f>+E129-D129</f>
        <v>5700</v>
      </c>
      <c r="H129" s="69">
        <f>+G129/D129*100</f>
        <v>19.791666666666664</v>
      </c>
      <c r="I129" s="396"/>
      <c r="J129" s="169"/>
      <c r="K129" s="245"/>
      <c r="L129" s="168"/>
      <c r="M129" s="145" t="s">
        <v>173</v>
      </c>
      <c r="N129" s="145"/>
      <c r="O129" s="145"/>
      <c r="P129" s="169">
        <f>SUM(P130:P130)</f>
        <v>34500000</v>
      </c>
      <c r="Q129" s="133" t="s">
        <v>159</v>
      </c>
    </row>
    <row r="130" spans="1:17" ht="15.95" customHeight="1">
      <c r="A130" s="365"/>
      <c r="B130" s="534"/>
      <c r="C130" s="61"/>
      <c r="D130" s="63"/>
      <c r="E130" s="63"/>
      <c r="F130" s="51"/>
      <c r="G130" s="71"/>
      <c r="H130" s="70"/>
      <c r="I130" s="407" t="s">
        <v>82</v>
      </c>
      <c r="J130" s="256">
        <v>1916667</v>
      </c>
      <c r="K130" s="408" t="s">
        <v>159</v>
      </c>
      <c r="L130" s="258" t="s">
        <v>133</v>
      </c>
      <c r="M130" s="257">
        <v>18</v>
      </c>
      <c r="N130" s="257" t="s">
        <v>136</v>
      </c>
      <c r="O130" s="259" t="s">
        <v>148</v>
      </c>
      <c r="P130" s="256">
        <v>34500000</v>
      </c>
      <c r="Q130" s="260" t="s">
        <v>159</v>
      </c>
    </row>
    <row r="131" spans="1:17" ht="15.95" customHeight="1">
      <c r="A131" s="536" t="s">
        <v>155</v>
      </c>
      <c r="B131" s="537" t="s">
        <v>388</v>
      </c>
      <c r="C131" s="538" t="s">
        <v>70</v>
      </c>
      <c r="D131" s="54">
        <v>150000</v>
      </c>
      <c r="E131" s="54">
        <f>P131/1000</f>
        <v>100000</v>
      </c>
      <c r="F131" s="539"/>
      <c r="G131" s="540">
        <f>E131-D131</f>
        <v>-50000</v>
      </c>
      <c r="H131" s="41">
        <f>+G131/D131*100</f>
        <v>-33.333333333333329</v>
      </c>
      <c r="I131" s="541"/>
      <c r="J131" s="245"/>
      <c r="K131" s="245"/>
      <c r="L131" s="245"/>
      <c r="M131" s="145" t="s">
        <v>173</v>
      </c>
      <c r="N131" s="145"/>
      <c r="O131" s="145"/>
      <c r="P131" s="132">
        <f>SUM(P132:P132)</f>
        <v>100000000</v>
      </c>
      <c r="Q131" s="133" t="s">
        <v>159</v>
      </c>
    </row>
    <row r="132" spans="1:17" ht="15.95" customHeight="1">
      <c r="A132" s="514"/>
      <c r="B132" s="537" t="s">
        <v>382</v>
      </c>
      <c r="C132" s="542"/>
      <c r="D132" s="55"/>
      <c r="E132" s="55"/>
      <c r="F132" s="543"/>
      <c r="G132" s="544"/>
      <c r="H132" s="42"/>
      <c r="I132" s="416" t="s">
        <v>450</v>
      </c>
      <c r="J132" s="503">
        <v>4000000</v>
      </c>
      <c r="K132" s="373" t="s">
        <v>159</v>
      </c>
      <c r="L132" s="382" t="s">
        <v>133</v>
      </c>
      <c r="M132" s="374">
        <v>25</v>
      </c>
      <c r="N132" s="374" t="s">
        <v>136</v>
      </c>
      <c r="O132" s="383" t="s">
        <v>148</v>
      </c>
      <c r="P132" s="503">
        <f>SUM(J132*M132)</f>
        <v>100000000</v>
      </c>
      <c r="Q132" s="157" t="s">
        <v>159</v>
      </c>
    </row>
    <row r="133" spans="1:17" ht="15.95" customHeight="1">
      <c r="A133" s="365"/>
      <c r="B133" s="534"/>
      <c r="C133" s="56" t="s">
        <v>26</v>
      </c>
      <c r="D133" s="54">
        <v>10000</v>
      </c>
      <c r="E133" s="54">
        <f>P133/1000</f>
        <v>25000</v>
      </c>
      <c r="F133" s="46">
        <v>-1</v>
      </c>
      <c r="G133" s="38">
        <f>+E133-D133</f>
        <v>15000</v>
      </c>
      <c r="H133" s="41">
        <f>+G133/D133*100</f>
        <v>150</v>
      </c>
      <c r="I133" s="414"/>
      <c r="J133" s="169"/>
      <c r="K133" s="245"/>
      <c r="L133" s="168"/>
      <c r="M133" s="145" t="s">
        <v>173</v>
      </c>
      <c r="N133" s="145"/>
      <c r="O133" s="145"/>
      <c r="P133" s="169">
        <f>SUM(P134:P134)</f>
        <v>25000000</v>
      </c>
      <c r="Q133" s="133" t="s">
        <v>159</v>
      </c>
    </row>
    <row r="134" spans="1:17" ht="15.95" customHeight="1">
      <c r="A134" s="365"/>
      <c r="B134" s="534"/>
      <c r="C134" s="62"/>
      <c r="D134" s="55"/>
      <c r="E134" s="55"/>
      <c r="F134" s="47"/>
      <c r="G134" s="39"/>
      <c r="H134" s="42"/>
      <c r="I134" s="394" t="s">
        <v>28</v>
      </c>
      <c r="J134" s="503">
        <v>5000000</v>
      </c>
      <c r="K134" s="373" t="s">
        <v>159</v>
      </c>
      <c r="L134" s="382" t="s">
        <v>133</v>
      </c>
      <c r="M134" s="374">
        <v>5</v>
      </c>
      <c r="N134" s="374" t="s">
        <v>136</v>
      </c>
      <c r="O134" s="383" t="s">
        <v>148</v>
      </c>
      <c r="P134" s="503">
        <f>J134*M134</f>
        <v>25000000</v>
      </c>
      <c r="Q134" s="157" t="s">
        <v>159</v>
      </c>
    </row>
    <row r="135" spans="1:17" ht="15.95" customHeight="1">
      <c r="A135" s="365"/>
      <c r="B135" s="146"/>
      <c r="C135" s="375" t="s">
        <v>211</v>
      </c>
      <c r="D135" s="54">
        <v>28386</v>
      </c>
      <c r="E135" s="54">
        <f>(P135/1000)</f>
        <v>747300</v>
      </c>
      <c r="F135" s="14">
        <v>83961</v>
      </c>
      <c r="G135" s="38">
        <f>E135-D135</f>
        <v>718914</v>
      </c>
      <c r="H135" s="41">
        <f>G135/D135*100</f>
        <v>2532.6358063834286</v>
      </c>
      <c r="I135" s="449"/>
      <c r="J135" s="169"/>
      <c r="K135" s="245"/>
      <c r="L135" s="168"/>
      <c r="M135" s="145" t="s">
        <v>173</v>
      </c>
      <c r="N135" s="145"/>
      <c r="O135" s="145"/>
      <c r="P135" s="169">
        <f>SUM(P136:P138)</f>
        <v>747300000</v>
      </c>
      <c r="Q135" s="133" t="s">
        <v>159</v>
      </c>
    </row>
    <row r="136" spans="1:17" ht="15.95" customHeight="1">
      <c r="A136" s="365"/>
      <c r="B136" s="146"/>
      <c r="C136" s="62"/>
      <c r="D136" s="55"/>
      <c r="E136" s="55"/>
      <c r="F136" s="385"/>
      <c r="G136" s="39"/>
      <c r="H136" s="42"/>
      <c r="I136" s="413" t="s">
        <v>194</v>
      </c>
      <c r="J136" s="503">
        <v>0</v>
      </c>
      <c r="K136" s="373" t="s">
        <v>159</v>
      </c>
      <c r="L136" s="382" t="s">
        <v>133</v>
      </c>
      <c r="M136" s="374">
        <v>5</v>
      </c>
      <c r="N136" s="374" t="s">
        <v>141</v>
      </c>
      <c r="O136" s="383" t="s">
        <v>150</v>
      </c>
      <c r="P136" s="503">
        <f>J136*M136</f>
        <v>0</v>
      </c>
      <c r="Q136" s="157" t="s">
        <v>159</v>
      </c>
    </row>
    <row r="137" spans="1:17" ht="15.95" customHeight="1">
      <c r="A137" s="365"/>
      <c r="B137" s="146"/>
      <c r="C137" s="62"/>
      <c r="D137" s="55"/>
      <c r="E137" s="55"/>
      <c r="F137" s="385"/>
      <c r="G137" s="39"/>
      <c r="H137" s="42"/>
      <c r="I137" s="545" t="s">
        <v>115</v>
      </c>
      <c r="J137" s="503">
        <v>27300000</v>
      </c>
      <c r="K137" s="373" t="s">
        <v>159</v>
      </c>
      <c r="L137" s="382" t="s">
        <v>133</v>
      </c>
      <c r="M137" s="374">
        <v>1</v>
      </c>
      <c r="N137" s="374" t="s">
        <v>136</v>
      </c>
      <c r="O137" s="383" t="s">
        <v>150</v>
      </c>
      <c r="P137" s="503">
        <f>J137*M137</f>
        <v>27300000</v>
      </c>
      <c r="Q137" s="157" t="s">
        <v>159</v>
      </c>
    </row>
    <row r="138" spans="1:17" ht="15.95" customHeight="1">
      <c r="A138" s="546"/>
      <c r="B138" s="285"/>
      <c r="C138" s="386"/>
      <c r="D138" s="59"/>
      <c r="E138" s="59"/>
      <c r="F138" s="385"/>
      <c r="G138" s="40"/>
      <c r="H138" s="43"/>
      <c r="I138" s="547" t="s">
        <v>123</v>
      </c>
      <c r="J138" s="256">
        <v>60000000</v>
      </c>
      <c r="K138" s="373" t="s">
        <v>159</v>
      </c>
      <c r="L138" s="382" t="s">
        <v>133</v>
      </c>
      <c r="M138" s="374">
        <v>12</v>
      </c>
      <c r="N138" s="374" t="s">
        <v>136</v>
      </c>
      <c r="O138" s="383" t="s">
        <v>150</v>
      </c>
      <c r="P138" s="503">
        <f>J138*M138</f>
        <v>720000000</v>
      </c>
      <c r="Q138" s="157" t="s">
        <v>159</v>
      </c>
    </row>
    <row r="139" spans="1:17" ht="20.100000000000001" customHeight="1">
      <c r="A139" s="546"/>
      <c r="B139" s="531" t="s">
        <v>306</v>
      </c>
      <c r="C139" s="224" t="s">
        <v>180</v>
      </c>
      <c r="D139" s="491">
        <f>SUM(D140:D154)</f>
        <v>73189</v>
      </c>
      <c r="E139" s="489">
        <f>P139/1000</f>
        <v>143575</v>
      </c>
      <c r="F139" s="24">
        <f>SUM(F148:F153)</f>
        <v>4163</v>
      </c>
      <c r="G139" s="491">
        <f>+E139-D139</f>
        <v>70386</v>
      </c>
      <c r="H139" s="548">
        <f>G139/D139*100</f>
        <v>96.170189509352497</v>
      </c>
      <c r="I139" s="549"/>
      <c r="J139" s="305"/>
      <c r="K139" s="185"/>
      <c r="L139" s="306"/>
      <c r="M139" s="186"/>
      <c r="N139" s="186"/>
      <c r="O139" s="307"/>
      <c r="P139" s="305">
        <f>SUM(P140,P142,P145,P148)</f>
        <v>143575000</v>
      </c>
      <c r="Q139" s="231" t="s">
        <v>159</v>
      </c>
    </row>
    <row r="140" spans="1:17" ht="15.95" customHeight="1">
      <c r="A140" s="536"/>
      <c r="B140" s="515" t="s">
        <v>317</v>
      </c>
      <c r="C140" s="60" t="s">
        <v>113</v>
      </c>
      <c r="D140" s="71">
        <v>6000</v>
      </c>
      <c r="E140" s="63">
        <f>P140/1000</f>
        <v>12000</v>
      </c>
      <c r="F140" s="51">
        <v>-1</v>
      </c>
      <c r="G140" s="71">
        <f>+E140-D140</f>
        <v>6000</v>
      </c>
      <c r="H140" s="550">
        <v>0</v>
      </c>
      <c r="I140" s="414"/>
      <c r="J140" s="169"/>
      <c r="K140" s="245"/>
      <c r="L140" s="168"/>
      <c r="M140" s="145" t="s">
        <v>173</v>
      </c>
      <c r="N140" s="145"/>
      <c r="O140" s="145"/>
      <c r="P140" s="169">
        <f>SUM(P141:P141)</f>
        <v>12000000</v>
      </c>
      <c r="Q140" s="133" t="s">
        <v>159</v>
      </c>
    </row>
    <row r="141" spans="1:17" ht="15.95" customHeight="1">
      <c r="A141" s="536"/>
      <c r="B141" s="515"/>
      <c r="C141" s="61"/>
      <c r="D141" s="71"/>
      <c r="E141" s="63"/>
      <c r="F141" s="51"/>
      <c r="G141" s="71"/>
      <c r="H141" s="550"/>
      <c r="I141" s="413" t="s">
        <v>203</v>
      </c>
      <c r="J141" s="503">
        <v>1200000</v>
      </c>
      <c r="K141" s="373" t="s">
        <v>159</v>
      </c>
      <c r="L141" s="382" t="s">
        <v>133</v>
      </c>
      <c r="M141" s="374">
        <v>10</v>
      </c>
      <c r="N141" s="374" t="s">
        <v>136</v>
      </c>
      <c r="O141" s="383" t="s">
        <v>148</v>
      </c>
      <c r="P141" s="503">
        <f>J141*M141</f>
        <v>12000000</v>
      </c>
      <c r="Q141" s="157" t="s">
        <v>159</v>
      </c>
    </row>
    <row r="142" spans="1:17" ht="15.95" customHeight="1">
      <c r="A142" s="536"/>
      <c r="B142" s="515"/>
      <c r="C142" s="375" t="s">
        <v>104</v>
      </c>
      <c r="D142" s="38">
        <v>60000</v>
      </c>
      <c r="E142" s="54">
        <f>P142/1000</f>
        <v>110000</v>
      </c>
      <c r="F142" s="24"/>
      <c r="G142" s="38">
        <f>+E142-D142</f>
        <v>50000</v>
      </c>
      <c r="H142" s="41">
        <f>G142/D142*100</f>
        <v>83.333333333333343</v>
      </c>
      <c r="I142" s="414"/>
      <c r="J142" s="169"/>
      <c r="K142" s="245"/>
      <c r="L142" s="168"/>
      <c r="M142" s="145" t="s">
        <v>173</v>
      </c>
      <c r="N142" s="145"/>
      <c r="O142" s="145"/>
      <c r="P142" s="169">
        <f>SUM(P143:P144)</f>
        <v>110000000</v>
      </c>
      <c r="Q142" s="133" t="s">
        <v>159</v>
      </c>
    </row>
    <row r="143" spans="1:17" ht="15.95" customHeight="1">
      <c r="A143" s="536"/>
      <c r="B143" s="515"/>
      <c r="C143" s="62"/>
      <c r="D143" s="39"/>
      <c r="E143" s="55"/>
      <c r="F143" s="24"/>
      <c r="G143" s="39"/>
      <c r="H143" s="42"/>
      <c r="I143" s="394" t="s">
        <v>104</v>
      </c>
      <c r="J143" s="503">
        <v>5000000</v>
      </c>
      <c r="K143" s="373" t="s">
        <v>159</v>
      </c>
      <c r="L143" s="382" t="s">
        <v>133</v>
      </c>
      <c r="M143" s="374">
        <v>12</v>
      </c>
      <c r="N143" s="374" t="s">
        <v>141</v>
      </c>
      <c r="O143" s="383" t="s">
        <v>148</v>
      </c>
      <c r="P143" s="503">
        <f>J143*M143</f>
        <v>60000000</v>
      </c>
      <c r="Q143" s="157" t="s">
        <v>159</v>
      </c>
    </row>
    <row r="144" spans="1:17" ht="15.95" customHeight="1">
      <c r="A144" s="536"/>
      <c r="B144" s="515"/>
      <c r="C144" s="386"/>
      <c r="D144" s="40"/>
      <c r="E144" s="59"/>
      <c r="F144" s="24"/>
      <c r="G144" s="40"/>
      <c r="H144" s="43"/>
      <c r="I144" s="394" t="s">
        <v>459</v>
      </c>
      <c r="J144" s="503">
        <v>5000000</v>
      </c>
      <c r="K144" s="373" t="s">
        <v>159</v>
      </c>
      <c r="L144" s="382" t="s">
        <v>133</v>
      </c>
      <c r="M144" s="374">
        <v>10</v>
      </c>
      <c r="N144" s="374" t="s">
        <v>460</v>
      </c>
      <c r="O144" s="383" t="s">
        <v>148</v>
      </c>
      <c r="P144" s="503">
        <f>J144*M144</f>
        <v>50000000</v>
      </c>
      <c r="Q144" s="157" t="s">
        <v>159</v>
      </c>
    </row>
    <row r="145" spans="1:17" ht="15.95" customHeight="1">
      <c r="A145" s="536"/>
      <c r="B145" s="515"/>
      <c r="C145" s="60" t="s">
        <v>114</v>
      </c>
      <c r="D145" s="71">
        <v>2130</v>
      </c>
      <c r="E145" s="63">
        <f>P145/1000</f>
        <v>12130</v>
      </c>
      <c r="F145" s="24"/>
      <c r="G145" s="71">
        <f>E145-D145</f>
        <v>10000</v>
      </c>
      <c r="H145" s="550">
        <f>G145/D145*100</f>
        <v>469.48356807511738</v>
      </c>
      <c r="I145" s="414"/>
      <c r="J145" s="169"/>
      <c r="K145" s="245"/>
      <c r="L145" s="168"/>
      <c r="M145" s="145" t="s">
        <v>173</v>
      </c>
      <c r="N145" s="145"/>
      <c r="O145" s="145"/>
      <c r="P145" s="169">
        <f>SUM(P146:P147)</f>
        <v>12130000</v>
      </c>
      <c r="Q145" s="133" t="s">
        <v>159</v>
      </c>
    </row>
    <row r="146" spans="1:17" ht="15.95" customHeight="1">
      <c r="A146" s="536"/>
      <c r="B146" s="515"/>
      <c r="C146" s="60"/>
      <c r="D146" s="71"/>
      <c r="E146" s="63"/>
      <c r="F146" s="24"/>
      <c r="G146" s="71"/>
      <c r="H146" s="550"/>
      <c r="I146" s="451" t="s">
        <v>201</v>
      </c>
      <c r="J146" s="503">
        <v>2582500</v>
      </c>
      <c r="K146" s="373" t="s">
        <v>159</v>
      </c>
      <c r="L146" s="382" t="s">
        <v>133</v>
      </c>
      <c r="M146" s="374">
        <v>4</v>
      </c>
      <c r="N146" s="374" t="s">
        <v>136</v>
      </c>
      <c r="O146" s="374"/>
      <c r="P146" s="503">
        <f>SUM(J146*M146)</f>
        <v>10330000</v>
      </c>
      <c r="Q146" s="157" t="s">
        <v>159</v>
      </c>
    </row>
    <row r="147" spans="1:17" ht="15.95" customHeight="1">
      <c r="A147" s="536"/>
      <c r="B147" s="515"/>
      <c r="C147" s="60"/>
      <c r="D147" s="71"/>
      <c r="E147" s="63"/>
      <c r="F147" s="24"/>
      <c r="G147" s="71"/>
      <c r="H147" s="550"/>
      <c r="I147" s="394" t="s">
        <v>110</v>
      </c>
      <c r="J147" s="256">
        <v>200000</v>
      </c>
      <c r="K147" s="408" t="s">
        <v>159</v>
      </c>
      <c r="L147" s="258" t="s">
        <v>133</v>
      </c>
      <c r="M147" s="257">
        <v>9</v>
      </c>
      <c r="N147" s="257" t="s">
        <v>136</v>
      </c>
      <c r="O147" s="257"/>
      <c r="P147" s="256">
        <f>SUM(J147*M147)</f>
        <v>1800000</v>
      </c>
      <c r="Q147" s="260" t="s">
        <v>159</v>
      </c>
    </row>
    <row r="148" spans="1:17" ht="15.95" customHeight="1">
      <c r="A148" s="365"/>
      <c r="B148" s="515"/>
      <c r="C148" s="56" t="s">
        <v>322</v>
      </c>
      <c r="D148" s="38">
        <v>5059</v>
      </c>
      <c r="E148" s="54">
        <f>+P148/1000</f>
        <v>9445</v>
      </c>
      <c r="F148" s="46">
        <v>4163</v>
      </c>
      <c r="G148" s="38">
        <f>+E148-D148</f>
        <v>4386</v>
      </c>
      <c r="H148" s="41">
        <f>G148/D148*100</f>
        <v>86.696975686894646</v>
      </c>
      <c r="I148" s="142"/>
      <c r="J148" s="169"/>
      <c r="K148" s="245"/>
      <c r="L148" s="168"/>
      <c r="M148" s="145" t="s">
        <v>173</v>
      </c>
      <c r="N148" s="145"/>
      <c r="O148" s="145"/>
      <c r="P148" s="169">
        <f>SUM(P149,P154)</f>
        <v>9445000</v>
      </c>
      <c r="Q148" s="133" t="s">
        <v>159</v>
      </c>
    </row>
    <row r="149" spans="1:17" ht="15.95" customHeight="1">
      <c r="A149" s="365"/>
      <c r="B149" s="242"/>
      <c r="C149" s="57"/>
      <c r="D149" s="39"/>
      <c r="E149" s="55"/>
      <c r="F149" s="47"/>
      <c r="G149" s="39"/>
      <c r="H149" s="42"/>
      <c r="I149" s="551" t="s">
        <v>281</v>
      </c>
      <c r="J149" s="552"/>
      <c r="K149" s="553"/>
      <c r="L149" s="554"/>
      <c r="M149" s="555"/>
      <c r="N149" s="555"/>
      <c r="O149" s="556"/>
      <c r="P149" s="503">
        <f>SUM(P150:P153)</f>
        <v>9345000</v>
      </c>
      <c r="Q149" s="157" t="s">
        <v>159</v>
      </c>
    </row>
    <row r="150" spans="1:17" ht="15.95" customHeight="1">
      <c r="A150" s="365"/>
      <c r="B150" s="146"/>
      <c r="C150" s="57"/>
      <c r="D150" s="39"/>
      <c r="E150" s="55"/>
      <c r="F150" s="47"/>
      <c r="G150" s="39"/>
      <c r="H150" s="42"/>
      <c r="I150" s="159" t="s">
        <v>10</v>
      </c>
      <c r="J150" s="503">
        <v>600000</v>
      </c>
      <c r="K150" s="373" t="s">
        <v>159</v>
      </c>
      <c r="L150" s="382" t="s">
        <v>133</v>
      </c>
      <c r="M150" s="374">
        <v>1</v>
      </c>
      <c r="N150" s="374" t="s">
        <v>136</v>
      </c>
      <c r="O150" s="383" t="s">
        <v>148</v>
      </c>
      <c r="P150" s="503">
        <f>SUM(J150*M150)</f>
        <v>600000</v>
      </c>
      <c r="Q150" s="157" t="s">
        <v>159</v>
      </c>
    </row>
    <row r="151" spans="1:17" ht="15.95" customHeight="1">
      <c r="A151" s="365"/>
      <c r="B151" s="146"/>
      <c r="C151" s="57"/>
      <c r="D151" s="39"/>
      <c r="E151" s="55"/>
      <c r="F151" s="47"/>
      <c r="G151" s="39"/>
      <c r="H151" s="42"/>
      <c r="I151" s="159" t="s">
        <v>3</v>
      </c>
      <c r="J151" s="503">
        <v>7095000</v>
      </c>
      <c r="K151" s="373" t="s">
        <v>159</v>
      </c>
      <c r="L151" s="382" t="s">
        <v>133</v>
      </c>
      <c r="M151" s="374">
        <v>1</v>
      </c>
      <c r="N151" s="374" t="s">
        <v>136</v>
      </c>
      <c r="O151" s="383" t="s">
        <v>148</v>
      </c>
      <c r="P151" s="503">
        <f>SUM(J151*M151)</f>
        <v>7095000</v>
      </c>
      <c r="Q151" s="157" t="s">
        <v>159</v>
      </c>
    </row>
    <row r="152" spans="1:17" ht="15.95" customHeight="1">
      <c r="A152" s="514"/>
      <c r="B152" s="537"/>
      <c r="C152" s="57"/>
      <c r="D152" s="39"/>
      <c r="E152" s="55"/>
      <c r="F152" s="47"/>
      <c r="G152" s="39"/>
      <c r="H152" s="42"/>
      <c r="I152" s="411" t="s">
        <v>416</v>
      </c>
      <c r="J152" s="503">
        <v>500000</v>
      </c>
      <c r="K152" s="373" t="s">
        <v>159</v>
      </c>
      <c r="L152" s="382" t="s">
        <v>133</v>
      </c>
      <c r="M152" s="374">
        <v>1</v>
      </c>
      <c r="N152" s="374" t="s">
        <v>136</v>
      </c>
      <c r="O152" s="383"/>
      <c r="P152" s="503">
        <f>SUM(J152*M152)</f>
        <v>500000</v>
      </c>
      <c r="Q152" s="157" t="s">
        <v>159</v>
      </c>
    </row>
    <row r="153" spans="1:17" ht="15.95" customHeight="1">
      <c r="A153" s="365"/>
      <c r="B153" s="146"/>
      <c r="C153" s="57"/>
      <c r="D153" s="39"/>
      <c r="E153" s="55"/>
      <c r="F153" s="47"/>
      <c r="G153" s="39"/>
      <c r="H153" s="42"/>
      <c r="I153" s="395" t="s">
        <v>71</v>
      </c>
      <c r="J153" s="503">
        <v>230000</v>
      </c>
      <c r="K153" s="373" t="s">
        <v>159</v>
      </c>
      <c r="L153" s="382" t="s">
        <v>133</v>
      </c>
      <c r="M153" s="374">
        <v>5</v>
      </c>
      <c r="N153" s="374" t="s">
        <v>136</v>
      </c>
      <c r="O153" s="374"/>
      <c r="P153" s="503">
        <f>SUM(J153*M153)</f>
        <v>1150000</v>
      </c>
      <c r="Q153" s="157" t="s">
        <v>159</v>
      </c>
    </row>
    <row r="154" spans="1:17" ht="15.95" customHeight="1">
      <c r="A154" s="365"/>
      <c r="B154" s="146"/>
      <c r="C154" s="57"/>
      <c r="D154" s="39"/>
      <c r="E154" s="55"/>
      <c r="F154" s="15"/>
      <c r="G154" s="39"/>
      <c r="H154" s="42"/>
      <c r="I154" s="557" t="s">
        <v>116</v>
      </c>
      <c r="J154" s="503">
        <v>100000</v>
      </c>
      <c r="K154" s="373" t="s">
        <v>159</v>
      </c>
      <c r="L154" s="382" t="s">
        <v>133</v>
      </c>
      <c r="M154" s="374">
        <v>1</v>
      </c>
      <c r="N154" s="374" t="s">
        <v>136</v>
      </c>
      <c r="O154" s="374"/>
      <c r="P154" s="503">
        <f>SUM(J154*M154)</f>
        <v>100000</v>
      </c>
      <c r="Q154" s="157" t="s">
        <v>159</v>
      </c>
    </row>
    <row r="155" spans="1:17" ht="20.100000000000001" customHeight="1">
      <c r="A155" s="546"/>
      <c r="B155" s="531" t="s">
        <v>306</v>
      </c>
      <c r="C155" s="21" t="s">
        <v>381</v>
      </c>
      <c r="D155" s="17">
        <f>SUM(D156:D160)</f>
        <v>265880</v>
      </c>
      <c r="E155" s="17">
        <f>SUM(E156:E160)</f>
        <v>265880</v>
      </c>
      <c r="F155" s="14"/>
      <c r="G155" s="16">
        <f>E155-D155</f>
        <v>0</v>
      </c>
      <c r="H155" s="558">
        <f>G155/D155*100</f>
        <v>0</v>
      </c>
      <c r="I155" s="559"/>
      <c r="J155" s="308"/>
      <c r="K155" s="185"/>
      <c r="L155" s="306"/>
      <c r="M155" s="186"/>
      <c r="N155" s="186"/>
      <c r="O155" s="186"/>
      <c r="P155" s="308">
        <f>SUM(P156,P159)</f>
        <v>265880000</v>
      </c>
      <c r="Q155" s="157" t="s">
        <v>159</v>
      </c>
    </row>
    <row r="156" spans="1:17" ht="16.5" customHeight="1">
      <c r="A156" s="546"/>
      <c r="B156" s="515" t="s">
        <v>328</v>
      </c>
      <c r="C156" s="61" t="s">
        <v>285</v>
      </c>
      <c r="D156" s="63">
        <v>100880</v>
      </c>
      <c r="E156" s="63">
        <f>P156/1000</f>
        <v>100880</v>
      </c>
      <c r="F156" s="51">
        <v>80151</v>
      </c>
      <c r="G156" s="71">
        <f>+E156-D156</f>
        <v>0</v>
      </c>
      <c r="H156" s="524">
        <f>+G156/D156*100</f>
        <v>0</v>
      </c>
      <c r="I156" s="142"/>
      <c r="J156" s="169"/>
      <c r="K156" s="245"/>
      <c r="L156" s="168"/>
      <c r="M156" s="145" t="s">
        <v>173</v>
      </c>
      <c r="N156" s="145"/>
      <c r="O156" s="145"/>
      <c r="P156" s="169">
        <f>SUM(P157:P158)</f>
        <v>100880000</v>
      </c>
      <c r="Q156" s="133" t="s">
        <v>159</v>
      </c>
    </row>
    <row r="157" spans="1:17" ht="16.5" customHeight="1">
      <c r="A157" s="365"/>
      <c r="B157" s="146"/>
      <c r="C157" s="61"/>
      <c r="D157" s="63"/>
      <c r="E157" s="63"/>
      <c r="F157" s="51"/>
      <c r="G157" s="71"/>
      <c r="H157" s="524"/>
      <c r="I157" s="432" t="s">
        <v>55</v>
      </c>
      <c r="J157" s="503">
        <v>880000</v>
      </c>
      <c r="K157" s="373" t="s">
        <v>159</v>
      </c>
      <c r="L157" s="382" t="s">
        <v>133</v>
      </c>
      <c r="M157" s="374">
        <v>1</v>
      </c>
      <c r="N157" s="374" t="s">
        <v>136</v>
      </c>
      <c r="O157" s="383" t="s">
        <v>148</v>
      </c>
      <c r="P157" s="503">
        <f>SUM(J157*M157)</f>
        <v>880000</v>
      </c>
      <c r="Q157" s="157" t="s">
        <v>159</v>
      </c>
    </row>
    <row r="158" spans="1:17" ht="16.5" customHeight="1">
      <c r="A158" s="365"/>
      <c r="B158" s="146"/>
      <c r="C158" s="61"/>
      <c r="D158" s="63"/>
      <c r="E158" s="63"/>
      <c r="F158" s="51"/>
      <c r="G158" s="71"/>
      <c r="H158" s="69"/>
      <c r="I158" s="560" t="s">
        <v>293</v>
      </c>
      <c r="J158" s="256">
        <v>25000000</v>
      </c>
      <c r="K158" s="408" t="s">
        <v>159</v>
      </c>
      <c r="L158" s="258" t="s">
        <v>133</v>
      </c>
      <c r="M158" s="257">
        <v>4</v>
      </c>
      <c r="N158" s="257" t="s">
        <v>136</v>
      </c>
      <c r="O158" s="259" t="s">
        <v>148</v>
      </c>
      <c r="P158" s="256">
        <f>SUM(J158*M158)</f>
        <v>100000000</v>
      </c>
      <c r="Q158" s="260" t="s">
        <v>159</v>
      </c>
    </row>
    <row r="159" spans="1:17" ht="15.95" customHeight="1">
      <c r="A159" s="514"/>
      <c r="B159" s="242"/>
      <c r="C159" s="538" t="s">
        <v>53</v>
      </c>
      <c r="D159" s="63">
        <v>165000</v>
      </c>
      <c r="E159" s="63">
        <f>+P159/1000</f>
        <v>165000</v>
      </c>
      <c r="F159" s="24"/>
      <c r="G159" s="561">
        <f>+E159-D159</f>
        <v>0</v>
      </c>
      <c r="H159" s="69">
        <f>+G159/D159*100</f>
        <v>0</v>
      </c>
      <c r="I159" s="414"/>
      <c r="J159" s="169"/>
      <c r="K159" s="245"/>
      <c r="L159" s="168"/>
      <c r="M159" s="145" t="s">
        <v>173</v>
      </c>
      <c r="N159" s="145"/>
      <c r="O159" s="145"/>
      <c r="P159" s="169">
        <f>SUM(P160:P160)</f>
        <v>165000000</v>
      </c>
      <c r="Q159" s="133" t="s">
        <v>159</v>
      </c>
    </row>
    <row r="160" spans="1:17" ht="15.95" customHeight="1">
      <c r="A160" s="536"/>
      <c r="B160" s="208"/>
      <c r="C160" s="562"/>
      <c r="D160" s="63"/>
      <c r="E160" s="63"/>
      <c r="F160" s="24"/>
      <c r="G160" s="561"/>
      <c r="H160" s="70"/>
      <c r="I160" s="427" t="s">
        <v>53</v>
      </c>
      <c r="J160" s="256">
        <v>16500000</v>
      </c>
      <c r="K160" s="408" t="s">
        <v>159</v>
      </c>
      <c r="L160" s="258" t="s">
        <v>133</v>
      </c>
      <c r="M160" s="257">
        <v>10</v>
      </c>
      <c r="N160" s="257" t="s">
        <v>136</v>
      </c>
      <c r="O160" s="259" t="s">
        <v>148</v>
      </c>
      <c r="P160" s="256">
        <f>J160*M160</f>
        <v>165000000</v>
      </c>
      <c r="Q160" s="260" t="s">
        <v>159</v>
      </c>
    </row>
    <row r="161" spans="1:20" ht="20.100000000000001" customHeight="1">
      <c r="A161" s="563" t="s">
        <v>467</v>
      </c>
      <c r="B161" s="123" t="s">
        <v>379</v>
      </c>
      <c r="C161" s="564" t="s">
        <v>180</v>
      </c>
      <c r="D161" s="565">
        <f>+D162+D167+D171</f>
        <v>13802</v>
      </c>
      <c r="E161" s="565">
        <f>SUM(E162:E172)</f>
        <v>20385</v>
      </c>
      <c r="F161" s="14" t="e">
        <f>+#REF!+F162+#REF!+#REF!+F171</f>
        <v>#REF!</v>
      </c>
      <c r="G161" s="566">
        <f>+E161-D161</f>
        <v>6583</v>
      </c>
      <c r="H161" s="567">
        <f>+G161/D161*100</f>
        <v>47.695986088972617</v>
      </c>
      <c r="I161" s="414"/>
      <c r="J161" s="143"/>
      <c r="K161" s="245"/>
      <c r="L161" s="168"/>
      <c r="M161" s="144"/>
      <c r="N161" s="144"/>
      <c r="O161" s="309"/>
      <c r="P161" s="143">
        <f>SUM(P162,P167,P171)</f>
        <v>20385000</v>
      </c>
      <c r="Q161" s="133" t="s">
        <v>159</v>
      </c>
    </row>
    <row r="162" spans="1:20" ht="15.95" customHeight="1">
      <c r="A162" s="365"/>
      <c r="B162" s="146"/>
      <c r="C162" s="64" t="s">
        <v>456</v>
      </c>
      <c r="D162" s="48">
        <v>5202</v>
      </c>
      <c r="E162" s="48">
        <f>P162/1000</f>
        <v>19985</v>
      </c>
      <c r="F162" s="52">
        <v>14521</v>
      </c>
      <c r="G162" s="38">
        <f>+E162-D162</f>
        <v>14783</v>
      </c>
      <c r="H162" s="41">
        <f>+G162/D162*100</f>
        <v>284.17916186082277</v>
      </c>
      <c r="I162" s="568"/>
      <c r="J162" s="569"/>
      <c r="K162" s="570"/>
      <c r="L162" s="571"/>
      <c r="M162" s="572" t="s">
        <v>173</v>
      </c>
      <c r="N162" s="572"/>
      <c r="O162" s="572"/>
      <c r="P162" s="569">
        <f>SUM(P163:P166)</f>
        <v>19985000</v>
      </c>
      <c r="Q162" s="573" t="s">
        <v>159</v>
      </c>
    </row>
    <row r="163" spans="1:20" ht="15.95" customHeight="1">
      <c r="A163" s="365"/>
      <c r="B163" s="146"/>
      <c r="C163" s="65"/>
      <c r="D163" s="49"/>
      <c r="E163" s="49"/>
      <c r="F163" s="53"/>
      <c r="G163" s="39"/>
      <c r="H163" s="42"/>
      <c r="I163" s="574" t="s">
        <v>72</v>
      </c>
      <c r="J163" s="575">
        <v>3300000</v>
      </c>
      <c r="K163" s="439" t="s">
        <v>159</v>
      </c>
      <c r="L163" s="440" t="s">
        <v>133</v>
      </c>
      <c r="M163" s="441">
        <v>1</v>
      </c>
      <c r="N163" s="441" t="s">
        <v>136</v>
      </c>
      <c r="O163" s="442" t="s">
        <v>148</v>
      </c>
      <c r="P163" s="575">
        <f>J163*M163</f>
        <v>3300000</v>
      </c>
      <c r="Q163" s="206" t="s">
        <v>159</v>
      </c>
    </row>
    <row r="164" spans="1:20" ht="15.95" customHeight="1">
      <c r="A164" s="365"/>
      <c r="B164" s="146"/>
      <c r="C164" s="65"/>
      <c r="D164" s="49"/>
      <c r="E164" s="49"/>
      <c r="F164" s="53"/>
      <c r="G164" s="39"/>
      <c r="H164" s="42"/>
      <c r="I164" s="574" t="s">
        <v>457</v>
      </c>
      <c r="J164" s="575">
        <v>3850000</v>
      </c>
      <c r="K164" s="439" t="s">
        <v>159</v>
      </c>
      <c r="L164" s="440" t="s">
        <v>133</v>
      </c>
      <c r="M164" s="441">
        <v>1</v>
      </c>
      <c r="N164" s="441" t="s">
        <v>136</v>
      </c>
      <c r="O164" s="442" t="s">
        <v>148</v>
      </c>
      <c r="P164" s="575">
        <f>SUM(J164*M164)</f>
        <v>3850000</v>
      </c>
      <c r="Q164" s="206" t="s">
        <v>159</v>
      </c>
    </row>
    <row r="165" spans="1:20" ht="15.95" customHeight="1">
      <c r="A165" s="365"/>
      <c r="B165" s="146"/>
      <c r="C165" s="65"/>
      <c r="D165" s="49"/>
      <c r="E165" s="49"/>
      <c r="F165" s="53"/>
      <c r="G165" s="39"/>
      <c r="H165" s="42"/>
      <c r="I165" s="574" t="s">
        <v>458</v>
      </c>
      <c r="J165" s="575">
        <v>6800000</v>
      </c>
      <c r="K165" s="439" t="s">
        <v>159</v>
      </c>
      <c r="L165" s="440" t="s">
        <v>133</v>
      </c>
      <c r="M165" s="441">
        <v>1</v>
      </c>
      <c r="N165" s="441" t="s">
        <v>136</v>
      </c>
      <c r="O165" s="442" t="s">
        <v>148</v>
      </c>
      <c r="P165" s="575">
        <f>SUM(J165*M165)</f>
        <v>6800000</v>
      </c>
      <c r="Q165" s="206" t="s">
        <v>159</v>
      </c>
    </row>
    <row r="166" spans="1:20" ht="15.95" customHeight="1">
      <c r="A166" s="365"/>
      <c r="B166" s="146"/>
      <c r="C166" s="66"/>
      <c r="D166" s="50"/>
      <c r="E166" s="50"/>
      <c r="F166" s="11"/>
      <c r="G166" s="40"/>
      <c r="H166" s="43"/>
      <c r="I166" s="576" t="s">
        <v>309</v>
      </c>
      <c r="J166" s="214">
        <v>6035000</v>
      </c>
      <c r="K166" s="577" t="s">
        <v>159</v>
      </c>
      <c r="L166" s="216" t="s">
        <v>133</v>
      </c>
      <c r="M166" s="215">
        <v>1</v>
      </c>
      <c r="N166" s="215" t="s">
        <v>136</v>
      </c>
      <c r="O166" s="217" t="s">
        <v>148</v>
      </c>
      <c r="P166" s="214">
        <f>SUM(J166*M166)</f>
        <v>6035000</v>
      </c>
      <c r="Q166" s="218" t="s">
        <v>159</v>
      </c>
    </row>
    <row r="167" spans="1:20" s="8" customFormat="1" ht="15.95" customHeight="1">
      <c r="A167" s="6"/>
      <c r="B167" s="7"/>
      <c r="C167" s="64" t="s">
        <v>461</v>
      </c>
      <c r="D167" s="48">
        <v>8200</v>
      </c>
      <c r="E167" s="48">
        <f>P167/1000</f>
        <v>0</v>
      </c>
      <c r="F167" s="25"/>
      <c r="G167" s="38">
        <f>E167-D167</f>
        <v>-8200</v>
      </c>
      <c r="H167" s="44">
        <f>+G167/D167*100</f>
        <v>-100</v>
      </c>
      <c r="I167" s="578" t="s">
        <v>465</v>
      </c>
      <c r="J167" s="569"/>
      <c r="K167" s="570"/>
      <c r="L167" s="571"/>
      <c r="M167" s="572" t="s">
        <v>173</v>
      </c>
      <c r="N167" s="572"/>
      <c r="O167" s="572"/>
      <c r="P167" s="569">
        <f>SUM(P168:P170)</f>
        <v>0</v>
      </c>
      <c r="Q167" s="573" t="s">
        <v>159</v>
      </c>
      <c r="R167" s="9"/>
      <c r="S167" s="10"/>
      <c r="T167" s="10"/>
    </row>
    <row r="168" spans="1:20" s="8" customFormat="1" ht="15.95" customHeight="1">
      <c r="A168" s="6"/>
      <c r="B168" s="7"/>
      <c r="C168" s="67"/>
      <c r="D168" s="49"/>
      <c r="E168" s="49"/>
      <c r="F168" s="26"/>
      <c r="G168" s="39"/>
      <c r="H168" s="45" t="e">
        <f>+G168/D168*100</f>
        <v>#DIV/0!</v>
      </c>
      <c r="I168" s="574" t="s">
        <v>462</v>
      </c>
      <c r="J168" s="575">
        <v>0</v>
      </c>
      <c r="K168" s="439" t="s">
        <v>159</v>
      </c>
      <c r="L168" s="440" t="s">
        <v>133</v>
      </c>
      <c r="M168" s="441">
        <v>1</v>
      </c>
      <c r="N168" s="441" t="s">
        <v>136</v>
      </c>
      <c r="O168" s="442" t="s">
        <v>148</v>
      </c>
      <c r="P168" s="575">
        <f>SUM(J168*M168)</f>
        <v>0</v>
      </c>
      <c r="Q168" s="206" t="s">
        <v>159</v>
      </c>
      <c r="R168" s="9"/>
      <c r="S168" s="10"/>
      <c r="T168" s="10"/>
    </row>
    <row r="169" spans="1:20" s="8" customFormat="1" ht="15.95" customHeight="1">
      <c r="A169" s="6"/>
      <c r="B169" s="7"/>
      <c r="C169" s="67"/>
      <c r="D169" s="49"/>
      <c r="E169" s="49"/>
      <c r="F169" s="26"/>
      <c r="G169" s="39"/>
      <c r="H169" s="45"/>
      <c r="I169" s="574" t="s">
        <v>463</v>
      </c>
      <c r="J169" s="575">
        <v>0</v>
      </c>
      <c r="K169" s="439" t="s">
        <v>159</v>
      </c>
      <c r="L169" s="440" t="s">
        <v>133</v>
      </c>
      <c r="M169" s="441">
        <v>1</v>
      </c>
      <c r="N169" s="441" t="s">
        <v>136</v>
      </c>
      <c r="O169" s="442" t="s">
        <v>148</v>
      </c>
      <c r="P169" s="575">
        <f>SUM(J169*M169)</f>
        <v>0</v>
      </c>
      <c r="Q169" s="206" t="s">
        <v>159</v>
      </c>
      <c r="R169" s="9"/>
      <c r="S169" s="10"/>
      <c r="T169" s="10"/>
    </row>
    <row r="170" spans="1:20" s="8" customFormat="1" ht="15.95" customHeight="1">
      <c r="A170" s="6"/>
      <c r="B170" s="7"/>
      <c r="C170" s="68"/>
      <c r="D170" s="50"/>
      <c r="E170" s="50"/>
      <c r="F170" s="11"/>
      <c r="G170" s="40"/>
      <c r="H170" s="45"/>
      <c r="I170" s="579" t="s">
        <v>464</v>
      </c>
      <c r="J170" s="575">
        <v>0</v>
      </c>
      <c r="K170" s="439" t="s">
        <v>159</v>
      </c>
      <c r="L170" s="440" t="s">
        <v>133</v>
      </c>
      <c r="M170" s="441">
        <v>1</v>
      </c>
      <c r="N170" s="441" t="s">
        <v>136</v>
      </c>
      <c r="O170" s="442" t="s">
        <v>148</v>
      </c>
      <c r="P170" s="575">
        <f>SUM(J170*M170)</f>
        <v>0</v>
      </c>
      <c r="Q170" s="206" t="s">
        <v>159</v>
      </c>
      <c r="R170" s="9"/>
      <c r="S170" s="10"/>
      <c r="T170" s="10"/>
    </row>
    <row r="171" spans="1:20" ht="15.95" customHeight="1">
      <c r="A171" s="365"/>
      <c r="B171" s="146"/>
      <c r="C171" s="418" t="s">
        <v>254</v>
      </c>
      <c r="D171" s="54">
        <v>400</v>
      </c>
      <c r="E171" s="54">
        <f>+P171/1000</f>
        <v>400</v>
      </c>
      <c r="F171" s="46">
        <v>346</v>
      </c>
      <c r="G171" s="38">
        <f>+E171-D171</f>
        <v>0</v>
      </c>
      <c r="H171" s="69">
        <v>0</v>
      </c>
      <c r="I171" s="414"/>
      <c r="J171" s="169"/>
      <c r="K171" s="245"/>
      <c r="L171" s="168"/>
      <c r="M171" s="145" t="s">
        <v>173</v>
      </c>
      <c r="N171" s="145"/>
      <c r="O171" s="145"/>
      <c r="P171" s="169">
        <f>SUM(P172:P172)</f>
        <v>400000</v>
      </c>
      <c r="Q171" s="133" t="s">
        <v>159</v>
      </c>
    </row>
    <row r="172" spans="1:20" ht="19.5" customHeight="1">
      <c r="A172" s="365"/>
      <c r="B172" s="285"/>
      <c r="C172" s="426"/>
      <c r="D172" s="59"/>
      <c r="E172" s="59"/>
      <c r="F172" s="398"/>
      <c r="G172" s="40"/>
      <c r="H172" s="70"/>
      <c r="I172" s="427" t="s">
        <v>254</v>
      </c>
      <c r="J172" s="256">
        <v>200000</v>
      </c>
      <c r="K172" s="408" t="s">
        <v>159</v>
      </c>
      <c r="L172" s="258" t="s">
        <v>133</v>
      </c>
      <c r="M172" s="257">
        <v>2</v>
      </c>
      <c r="N172" s="257" t="s">
        <v>136</v>
      </c>
      <c r="O172" s="259" t="s">
        <v>148</v>
      </c>
      <c r="P172" s="256">
        <f>SUM(J172*M172)</f>
        <v>400000</v>
      </c>
      <c r="Q172" s="260" t="s">
        <v>159</v>
      </c>
    </row>
    <row r="173" spans="1:20" ht="20.100000000000001" customHeight="1">
      <c r="A173" s="563"/>
      <c r="B173" s="123" t="s">
        <v>296</v>
      </c>
      <c r="C173" s="564" t="s">
        <v>180</v>
      </c>
      <c r="D173" s="565">
        <f>SUM(D174:D174:D178)</f>
        <v>8341</v>
      </c>
      <c r="E173" s="565">
        <f>SUM(E174:E176)</f>
        <v>3500</v>
      </c>
      <c r="F173" s="14">
        <f>SUM(F174:F183)</f>
        <v>16820</v>
      </c>
      <c r="G173" s="566">
        <f>+E173-D173</f>
        <v>-4841</v>
      </c>
      <c r="H173" s="567">
        <f>+G173/D173*100</f>
        <v>-58.038604483874835</v>
      </c>
      <c r="I173" s="549"/>
      <c r="J173" s="305"/>
      <c r="K173" s="185"/>
      <c r="L173" s="306"/>
      <c r="M173" s="186"/>
      <c r="N173" s="186"/>
      <c r="O173" s="307"/>
      <c r="P173" s="305">
        <f>SUM(P174,P176)</f>
        <v>3500000</v>
      </c>
      <c r="Q173" s="231" t="s">
        <v>159</v>
      </c>
    </row>
    <row r="174" spans="1:20" ht="15.95" customHeight="1">
      <c r="A174" s="365"/>
      <c r="B174" s="146"/>
      <c r="C174" s="418" t="s">
        <v>347</v>
      </c>
      <c r="D174" s="38">
        <v>0</v>
      </c>
      <c r="E174" s="580">
        <v>0</v>
      </c>
      <c r="F174" s="46">
        <v>300</v>
      </c>
      <c r="G174" s="38">
        <f>+E174-D174</f>
        <v>0</v>
      </c>
      <c r="H174" s="41">
        <v>0</v>
      </c>
      <c r="I174" s="414"/>
      <c r="J174" s="143"/>
      <c r="K174" s="245"/>
      <c r="L174" s="168"/>
      <c r="M174" s="145" t="s">
        <v>173</v>
      </c>
      <c r="N174" s="145"/>
      <c r="O174" s="145"/>
      <c r="P174" s="143">
        <f>SUM(P175:P175)</f>
        <v>0</v>
      </c>
      <c r="Q174" s="133" t="s">
        <v>159</v>
      </c>
    </row>
    <row r="175" spans="1:20" ht="15.95" customHeight="1">
      <c r="A175" s="365"/>
      <c r="B175" s="146"/>
      <c r="C175" s="419"/>
      <c r="D175" s="39"/>
      <c r="E175" s="581"/>
      <c r="F175" s="47"/>
      <c r="G175" s="39"/>
      <c r="H175" s="43"/>
      <c r="I175" s="451" t="s">
        <v>282</v>
      </c>
      <c r="J175" s="503">
        <v>0</v>
      </c>
      <c r="K175" s="373" t="s">
        <v>159</v>
      </c>
      <c r="L175" s="382" t="s">
        <v>133</v>
      </c>
      <c r="M175" s="374">
        <v>1</v>
      </c>
      <c r="N175" s="374" t="s">
        <v>143</v>
      </c>
      <c r="O175" s="383" t="s">
        <v>148</v>
      </c>
      <c r="P175" s="503">
        <f>SUM(J175*M175)</f>
        <v>0</v>
      </c>
      <c r="Q175" s="157" t="s">
        <v>159</v>
      </c>
    </row>
    <row r="176" spans="1:20" ht="15.95" customHeight="1">
      <c r="A176" s="365"/>
      <c r="B176" s="146"/>
      <c r="C176" s="56" t="s">
        <v>79</v>
      </c>
      <c r="D176" s="54">
        <v>8341</v>
      </c>
      <c r="E176" s="54">
        <f>P176/1000</f>
        <v>3500</v>
      </c>
      <c r="F176" s="46">
        <v>2900</v>
      </c>
      <c r="G176" s="38">
        <f>+E176-D176</f>
        <v>-4841</v>
      </c>
      <c r="H176" s="69">
        <f>+G176/D176*100</f>
        <v>-58.038604483874835</v>
      </c>
      <c r="I176" s="414"/>
      <c r="J176" s="169"/>
      <c r="K176" s="245"/>
      <c r="L176" s="168"/>
      <c r="M176" s="145" t="s">
        <v>173</v>
      </c>
      <c r="N176" s="145"/>
      <c r="O176" s="145"/>
      <c r="P176" s="169">
        <f>SUM(P177:P178)</f>
        <v>3500000</v>
      </c>
      <c r="Q176" s="133" t="s">
        <v>159</v>
      </c>
    </row>
    <row r="177" spans="1:19" ht="15.95" customHeight="1">
      <c r="A177" s="365"/>
      <c r="B177" s="146"/>
      <c r="C177" s="57"/>
      <c r="D177" s="55"/>
      <c r="E177" s="55"/>
      <c r="F177" s="47"/>
      <c r="G177" s="39">
        <f>+E177-D177</f>
        <v>0</v>
      </c>
      <c r="H177" s="511" t="e">
        <f>+G177/D177*100</f>
        <v>#DIV/0!</v>
      </c>
      <c r="I177" s="394" t="s">
        <v>390</v>
      </c>
      <c r="J177" s="503">
        <v>3000000</v>
      </c>
      <c r="K177" s="373" t="s">
        <v>159</v>
      </c>
      <c r="L177" s="382" t="s">
        <v>133</v>
      </c>
      <c r="M177" s="374">
        <v>1</v>
      </c>
      <c r="N177" s="374" t="s">
        <v>136</v>
      </c>
      <c r="O177" s="383" t="s">
        <v>148</v>
      </c>
      <c r="P177" s="503">
        <f>SUM(J177*M177)</f>
        <v>3000000</v>
      </c>
      <c r="Q177" s="157" t="s">
        <v>159</v>
      </c>
    </row>
    <row r="178" spans="1:19" ht="15.95" customHeight="1">
      <c r="A178" s="365"/>
      <c r="B178" s="285"/>
      <c r="C178" s="58"/>
      <c r="D178" s="59"/>
      <c r="E178" s="59"/>
      <c r="F178" s="398"/>
      <c r="G178" s="40">
        <f>+E178-D178</f>
        <v>0</v>
      </c>
      <c r="H178" s="70" t="e">
        <f>+G178/D178*100</f>
        <v>#DIV/0!</v>
      </c>
      <c r="I178" s="427" t="s">
        <v>412</v>
      </c>
      <c r="J178" s="256">
        <v>500000</v>
      </c>
      <c r="K178" s="408" t="s">
        <v>159</v>
      </c>
      <c r="L178" s="258" t="s">
        <v>133</v>
      </c>
      <c r="M178" s="257">
        <v>1</v>
      </c>
      <c r="N178" s="257" t="s">
        <v>136</v>
      </c>
      <c r="O178" s="259" t="s">
        <v>148</v>
      </c>
      <c r="P178" s="256">
        <f>SUM(J178*M178)</f>
        <v>500000</v>
      </c>
      <c r="Q178" s="260" t="s">
        <v>159</v>
      </c>
    </row>
    <row r="179" spans="1:19" ht="20.100000000000001" customHeight="1">
      <c r="A179" s="536"/>
      <c r="B179" s="488" t="s">
        <v>329</v>
      </c>
      <c r="C179" s="564" t="s">
        <v>180</v>
      </c>
      <c r="D179" s="19">
        <f>SUM(D180:D183)</f>
        <v>21100</v>
      </c>
      <c r="E179" s="12">
        <f>P179/1000</f>
        <v>17100</v>
      </c>
      <c r="F179" s="14"/>
      <c r="G179" s="12">
        <f>E179-D179</f>
        <v>-4000</v>
      </c>
      <c r="H179" s="27">
        <f>G179/D179*100</f>
        <v>-18.957345971563981</v>
      </c>
      <c r="I179" s="414"/>
      <c r="J179" s="169"/>
      <c r="K179" s="245"/>
      <c r="L179" s="168"/>
      <c r="M179" s="144"/>
      <c r="N179" s="144"/>
      <c r="O179" s="309"/>
      <c r="P179" s="169">
        <f>P180</f>
        <v>17100000</v>
      </c>
      <c r="Q179" s="133" t="s">
        <v>159</v>
      </c>
    </row>
    <row r="180" spans="1:19" ht="15.95" customHeight="1">
      <c r="A180" s="546"/>
      <c r="B180" s="582"/>
      <c r="C180" s="375" t="s">
        <v>212</v>
      </c>
      <c r="D180" s="54">
        <v>21100</v>
      </c>
      <c r="E180" s="54">
        <f>+P180/1000</f>
        <v>17100</v>
      </c>
      <c r="F180" s="46">
        <v>13620</v>
      </c>
      <c r="G180" s="38">
        <f>+E180-D180</f>
        <v>-4000</v>
      </c>
      <c r="H180" s="69">
        <f>+G180/D180*100</f>
        <v>-18.957345971563981</v>
      </c>
      <c r="I180" s="414"/>
      <c r="J180" s="169"/>
      <c r="K180" s="245"/>
      <c r="L180" s="168"/>
      <c r="M180" s="145" t="s">
        <v>173</v>
      </c>
      <c r="N180" s="145"/>
      <c r="O180" s="145"/>
      <c r="P180" s="169">
        <f>SUM(P181:P183)</f>
        <v>17100000</v>
      </c>
      <c r="Q180" s="133" t="s">
        <v>159</v>
      </c>
    </row>
    <row r="181" spans="1:19" ht="15.95" customHeight="1">
      <c r="A181" s="546"/>
      <c r="B181" s="146"/>
      <c r="C181" s="62"/>
      <c r="D181" s="55"/>
      <c r="E181" s="55"/>
      <c r="F181" s="47"/>
      <c r="G181" s="39"/>
      <c r="H181" s="511"/>
      <c r="I181" s="583" t="s">
        <v>305</v>
      </c>
      <c r="J181" s="503">
        <v>6000000</v>
      </c>
      <c r="K181" s="373" t="s">
        <v>159</v>
      </c>
      <c r="L181" s="382" t="s">
        <v>133</v>
      </c>
      <c r="M181" s="374">
        <v>1</v>
      </c>
      <c r="N181" s="374" t="s">
        <v>136</v>
      </c>
      <c r="O181" s="383" t="s">
        <v>148</v>
      </c>
      <c r="P181" s="503">
        <f>SUM(J181*M181)</f>
        <v>6000000</v>
      </c>
      <c r="Q181" s="157" t="s">
        <v>159</v>
      </c>
      <c r="R181" s="122"/>
      <c r="S181" s="122"/>
    </row>
    <row r="182" spans="1:19" ht="15.95" customHeight="1">
      <c r="A182" s="546"/>
      <c r="B182" s="146"/>
      <c r="C182" s="62"/>
      <c r="D182" s="55"/>
      <c r="E182" s="55"/>
      <c r="F182" s="47"/>
      <c r="G182" s="39"/>
      <c r="H182" s="511"/>
      <c r="I182" s="394" t="s">
        <v>447</v>
      </c>
      <c r="J182" s="503">
        <v>9500000</v>
      </c>
      <c r="K182" s="373" t="s">
        <v>159</v>
      </c>
      <c r="L182" s="382" t="s">
        <v>133</v>
      </c>
      <c r="M182" s="374">
        <v>1</v>
      </c>
      <c r="N182" s="374" t="s">
        <v>136</v>
      </c>
      <c r="O182" s="383" t="s">
        <v>148</v>
      </c>
      <c r="P182" s="503">
        <f>SUM(J182*M182)</f>
        <v>9500000</v>
      </c>
      <c r="Q182" s="157" t="s">
        <v>159</v>
      </c>
    </row>
    <row r="183" spans="1:19" ht="15.95" customHeight="1">
      <c r="A183" s="546"/>
      <c r="B183" s="146"/>
      <c r="C183" s="62"/>
      <c r="D183" s="55"/>
      <c r="E183" s="55"/>
      <c r="F183" s="47"/>
      <c r="G183" s="39"/>
      <c r="H183" s="511"/>
      <c r="I183" s="394" t="s">
        <v>30</v>
      </c>
      <c r="J183" s="503">
        <v>1600000</v>
      </c>
      <c r="K183" s="373" t="s">
        <v>159</v>
      </c>
      <c r="L183" s="382" t="s">
        <v>133</v>
      </c>
      <c r="M183" s="374">
        <v>1</v>
      </c>
      <c r="N183" s="374" t="s">
        <v>136</v>
      </c>
      <c r="O183" s="383" t="s">
        <v>148</v>
      </c>
      <c r="P183" s="503">
        <f>SUM(J183*M183)</f>
        <v>1600000</v>
      </c>
      <c r="Q183" s="157" t="s">
        <v>159</v>
      </c>
    </row>
    <row r="184" spans="1:19" ht="20.100000000000001" customHeight="1">
      <c r="A184" s="563"/>
      <c r="B184" s="123" t="s">
        <v>250</v>
      </c>
      <c r="C184" s="584" t="s">
        <v>180</v>
      </c>
      <c r="D184" s="489">
        <f>SUM(D185:D192)</f>
        <v>42730</v>
      </c>
      <c r="E184" s="489">
        <f>SUM(E185:E192)</f>
        <v>15730</v>
      </c>
      <c r="F184" s="24">
        <f>SUM(F185:F192)</f>
        <v>18973</v>
      </c>
      <c r="G184" s="491">
        <f>+E184-D184</f>
        <v>-27000</v>
      </c>
      <c r="H184" s="492">
        <f>+G184/D184*100</f>
        <v>-63.187456119822137</v>
      </c>
      <c r="I184" s="493"/>
      <c r="J184" s="305"/>
      <c r="K184" s="185"/>
      <c r="L184" s="306"/>
      <c r="M184" s="186"/>
      <c r="N184" s="186"/>
      <c r="O184" s="307"/>
      <c r="P184" s="585">
        <f>SUM(P185,P191)</f>
        <v>15730000</v>
      </c>
      <c r="Q184" s="231" t="s">
        <v>159</v>
      </c>
    </row>
    <row r="185" spans="1:19" ht="15.95" customHeight="1">
      <c r="A185" s="365"/>
      <c r="B185" s="146"/>
      <c r="C185" s="56" t="s">
        <v>352</v>
      </c>
      <c r="D185" s="54">
        <v>30730</v>
      </c>
      <c r="E185" s="54">
        <f>+P185/1000</f>
        <v>10730</v>
      </c>
      <c r="F185" s="46">
        <v>18973</v>
      </c>
      <c r="G185" s="38">
        <f>+E185-D185</f>
        <v>-20000</v>
      </c>
      <c r="H185" s="69">
        <f>+G185/D185*100</f>
        <v>-65.082980800520659</v>
      </c>
      <c r="I185" s="414"/>
      <c r="J185" s="169"/>
      <c r="K185" s="245"/>
      <c r="L185" s="168"/>
      <c r="M185" s="145" t="s">
        <v>173</v>
      </c>
      <c r="N185" s="145"/>
      <c r="O185" s="145"/>
      <c r="P185" s="169">
        <f>SUM(P186:P190)</f>
        <v>10730000</v>
      </c>
      <c r="Q185" s="133" t="s">
        <v>159</v>
      </c>
    </row>
    <row r="186" spans="1:19" ht="15.95" customHeight="1">
      <c r="A186" s="365"/>
      <c r="B186" s="146"/>
      <c r="C186" s="57"/>
      <c r="D186" s="55"/>
      <c r="E186" s="55"/>
      <c r="F186" s="47"/>
      <c r="G186" s="39"/>
      <c r="H186" s="511"/>
      <c r="I186" s="394" t="s">
        <v>330</v>
      </c>
      <c r="J186" s="503">
        <v>4300000</v>
      </c>
      <c r="K186" s="373" t="s">
        <v>159</v>
      </c>
      <c r="L186" s="382" t="s">
        <v>133</v>
      </c>
      <c r="M186" s="374">
        <v>1</v>
      </c>
      <c r="N186" s="374" t="s">
        <v>136</v>
      </c>
      <c r="O186" s="374" t="s">
        <v>148</v>
      </c>
      <c r="P186" s="503">
        <f>J186*M186</f>
        <v>4300000</v>
      </c>
      <c r="Q186" s="157" t="s">
        <v>159</v>
      </c>
    </row>
    <row r="187" spans="1:19" ht="15.95" customHeight="1">
      <c r="A187" s="365"/>
      <c r="B187" s="146"/>
      <c r="C187" s="57"/>
      <c r="D187" s="55"/>
      <c r="E187" s="55"/>
      <c r="F187" s="15"/>
      <c r="G187" s="39"/>
      <c r="H187" s="511"/>
      <c r="I187" s="394" t="s">
        <v>422</v>
      </c>
      <c r="J187" s="503">
        <v>560000</v>
      </c>
      <c r="K187" s="373" t="s">
        <v>159</v>
      </c>
      <c r="L187" s="382" t="s">
        <v>133</v>
      </c>
      <c r="M187" s="374">
        <v>1</v>
      </c>
      <c r="N187" s="374" t="s">
        <v>136</v>
      </c>
      <c r="O187" s="374" t="s">
        <v>148</v>
      </c>
      <c r="P187" s="503">
        <f>SUM(J187*M187)</f>
        <v>560000</v>
      </c>
      <c r="Q187" s="157" t="s">
        <v>159</v>
      </c>
    </row>
    <row r="188" spans="1:19" ht="15.95" customHeight="1">
      <c r="A188" s="365"/>
      <c r="B188" s="146"/>
      <c r="C188" s="57"/>
      <c r="D188" s="55"/>
      <c r="E188" s="55"/>
      <c r="F188" s="15"/>
      <c r="G188" s="39"/>
      <c r="H188" s="511"/>
      <c r="I188" s="394" t="s">
        <v>280</v>
      </c>
      <c r="J188" s="503">
        <v>5000000</v>
      </c>
      <c r="K188" s="373" t="s">
        <v>159</v>
      </c>
      <c r="L188" s="382" t="s">
        <v>133</v>
      </c>
      <c r="M188" s="374">
        <v>1</v>
      </c>
      <c r="N188" s="374" t="s">
        <v>136</v>
      </c>
      <c r="O188" s="374" t="s">
        <v>148</v>
      </c>
      <c r="P188" s="503">
        <f>SUM(J188*M188)</f>
        <v>5000000</v>
      </c>
      <c r="Q188" s="157" t="s">
        <v>159</v>
      </c>
    </row>
    <row r="189" spans="1:19" ht="15.95" customHeight="1">
      <c r="A189" s="365"/>
      <c r="B189" s="146"/>
      <c r="C189" s="57"/>
      <c r="D189" s="55"/>
      <c r="E189" s="55"/>
      <c r="F189" s="15"/>
      <c r="G189" s="39"/>
      <c r="H189" s="511"/>
      <c r="I189" s="394" t="s">
        <v>431</v>
      </c>
      <c r="J189" s="503">
        <v>300000</v>
      </c>
      <c r="K189" s="373" t="s">
        <v>159</v>
      </c>
      <c r="L189" s="382" t="s">
        <v>133</v>
      </c>
      <c r="M189" s="374">
        <v>2</v>
      </c>
      <c r="N189" s="374" t="s">
        <v>136</v>
      </c>
      <c r="O189" s="374" t="s">
        <v>148</v>
      </c>
      <c r="P189" s="503">
        <f>SUM(J189*M189)</f>
        <v>600000</v>
      </c>
      <c r="Q189" s="157" t="s">
        <v>159</v>
      </c>
    </row>
    <row r="190" spans="1:19" ht="15.95" customHeight="1">
      <c r="A190" s="365"/>
      <c r="B190" s="146"/>
      <c r="C190" s="58"/>
      <c r="D190" s="59"/>
      <c r="E190" s="59"/>
      <c r="F190" s="15"/>
      <c r="G190" s="40"/>
      <c r="H190" s="70"/>
      <c r="I190" s="586" t="s">
        <v>335</v>
      </c>
      <c r="J190" s="503">
        <v>90000</v>
      </c>
      <c r="K190" s="373" t="s">
        <v>159</v>
      </c>
      <c r="L190" s="382" t="s">
        <v>133</v>
      </c>
      <c r="M190" s="374">
        <v>3</v>
      </c>
      <c r="N190" s="374" t="s">
        <v>136</v>
      </c>
      <c r="O190" s="383" t="s">
        <v>148</v>
      </c>
      <c r="P190" s="503">
        <f>SUM(J190*M190)</f>
        <v>270000</v>
      </c>
      <c r="Q190" s="157" t="s">
        <v>159</v>
      </c>
    </row>
    <row r="191" spans="1:19" ht="15.95" customHeight="1">
      <c r="A191" s="365"/>
      <c r="B191" s="146"/>
      <c r="C191" s="60" t="s">
        <v>362</v>
      </c>
      <c r="D191" s="63">
        <v>12000</v>
      </c>
      <c r="E191" s="587">
        <f>+P191/1000</f>
        <v>5000</v>
      </c>
      <c r="F191" s="588">
        <v>0</v>
      </c>
      <c r="G191" s="71">
        <f>+E191-D191</f>
        <v>-7000</v>
      </c>
      <c r="H191" s="524">
        <f>G191/D191*100</f>
        <v>-58.333333333333336</v>
      </c>
      <c r="I191" s="414"/>
      <c r="J191" s="169"/>
      <c r="K191" s="245"/>
      <c r="L191" s="168"/>
      <c r="M191" s="145" t="s">
        <v>173</v>
      </c>
      <c r="N191" s="145"/>
      <c r="O191" s="145"/>
      <c r="P191" s="169">
        <f>SUM(P192:P192)</f>
        <v>5000000</v>
      </c>
      <c r="Q191" s="133" t="s">
        <v>159</v>
      </c>
    </row>
    <row r="192" spans="1:19" ht="15.95" customHeight="1">
      <c r="A192" s="365"/>
      <c r="B192" s="285"/>
      <c r="C192" s="60"/>
      <c r="D192" s="63"/>
      <c r="E192" s="587"/>
      <c r="F192" s="588"/>
      <c r="G192" s="71"/>
      <c r="H192" s="524"/>
      <c r="I192" s="427" t="s">
        <v>44</v>
      </c>
      <c r="J192" s="256">
        <v>5000000</v>
      </c>
      <c r="K192" s="408" t="s">
        <v>159</v>
      </c>
      <c r="L192" s="258" t="s">
        <v>133</v>
      </c>
      <c r="M192" s="257">
        <v>1</v>
      </c>
      <c r="N192" s="257" t="s">
        <v>136</v>
      </c>
      <c r="O192" s="259" t="s">
        <v>148</v>
      </c>
      <c r="P192" s="256">
        <f>SUM(J192*M192)</f>
        <v>5000000</v>
      </c>
      <c r="Q192" s="260" t="s">
        <v>159</v>
      </c>
    </row>
    <row r="193" spans="1:17" ht="20.100000000000001" customHeight="1">
      <c r="A193" s="514" t="s">
        <v>467</v>
      </c>
      <c r="B193" s="123" t="s">
        <v>395</v>
      </c>
      <c r="C193" s="589" t="s">
        <v>180</v>
      </c>
      <c r="D193" s="489">
        <f>SUM(D194:D201)</f>
        <v>59600</v>
      </c>
      <c r="E193" s="489">
        <f>SUM(E194:E201)</f>
        <v>62700</v>
      </c>
      <c r="F193" s="590" t="e">
        <f>SUM(#REF!)</f>
        <v>#REF!</v>
      </c>
      <c r="G193" s="491">
        <f>E193-D193</f>
        <v>3100</v>
      </c>
      <c r="H193" s="492">
        <f>+G193/D193*100</f>
        <v>5.201342281879195</v>
      </c>
      <c r="I193" s="549"/>
      <c r="J193" s="305"/>
      <c r="K193" s="185"/>
      <c r="L193" s="306"/>
      <c r="M193" s="186"/>
      <c r="N193" s="186"/>
      <c r="O193" s="307"/>
      <c r="P193" s="585">
        <f>SUM(P194,P197)</f>
        <v>62700000</v>
      </c>
      <c r="Q193" s="188" t="s">
        <v>159</v>
      </c>
    </row>
    <row r="194" spans="1:17" ht="15.95" customHeight="1">
      <c r="A194" s="365"/>
      <c r="B194" s="146"/>
      <c r="C194" s="56" t="s">
        <v>376</v>
      </c>
      <c r="D194" s="390">
        <v>30000</v>
      </c>
      <c r="E194" s="390">
        <f>+P194/1000</f>
        <v>31000</v>
      </c>
      <c r="F194" s="46">
        <v>661</v>
      </c>
      <c r="G194" s="38">
        <f>E194-D194</f>
        <v>1000</v>
      </c>
      <c r="H194" s="391">
        <f>G194/D194*100</f>
        <v>3.3333333333333335</v>
      </c>
      <c r="I194" s="396"/>
      <c r="J194" s="169"/>
      <c r="K194" s="245"/>
      <c r="L194" s="168"/>
      <c r="M194" s="145" t="s">
        <v>173</v>
      </c>
      <c r="N194" s="145"/>
      <c r="O194" s="145"/>
      <c r="P194" s="169">
        <f>SUM(P195:P196)</f>
        <v>31000000</v>
      </c>
      <c r="Q194" s="133" t="s">
        <v>159</v>
      </c>
    </row>
    <row r="195" spans="1:17" ht="15.95" customHeight="1">
      <c r="A195" s="365"/>
      <c r="B195" s="146"/>
      <c r="C195" s="57"/>
      <c r="D195" s="392"/>
      <c r="E195" s="392"/>
      <c r="F195" s="47"/>
      <c r="G195" s="39"/>
      <c r="H195" s="393"/>
      <c r="I195" s="395" t="s">
        <v>100</v>
      </c>
      <c r="J195" s="503">
        <v>15000000</v>
      </c>
      <c r="K195" s="373" t="s">
        <v>159</v>
      </c>
      <c r="L195" s="382" t="s">
        <v>133</v>
      </c>
      <c r="M195" s="374">
        <v>2</v>
      </c>
      <c r="N195" s="374" t="s">
        <v>136</v>
      </c>
      <c r="O195" s="374" t="s">
        <v>148</v>
      </c>
      <c r="P195" s="503">
        <f>+J195*M195</f>
        <v>30000000</v>
      </c>
      <c r="Q195" s="157" t="s">
        <v>159</v>
      </c>
    </row>
    <row r="196" spans="1:17" ht="15.95" customHeight="1">
      <c r="A196" s="365"/>
      <c r="B196" s="146"/>
      <c r="C196" s="57"/>
      <c r="D196" s="392"/>
      <c r="E196" s="392"/>
      <c r="F196" s="47"/>
      <c r="G196" s="39"/>
      <c r="H196" s="393"/>
      <c r="I196" s="395" t="s">
        <v>301</v>
      </c>
      <c r="J196" s="503">
        <v>500000</v>
      </c>
      <c r="K196" s="373" t="s">
        <v>141</v>
      </c>
      <c r="L196" s="382" t="s">
        <v>133</v>
      </c>
      <c r="M196" s="374">
        <v>2</v>
      </c>
      <c r="N196" s="374" t="s">
        <v>136</v>
      </c>
      <c r="O196" s="374" t="s">
        <v>148</v>
      </c>
      <c r="P196" s="503">
        <f>+J196*M196</f>
        <v>1000000</v>
      </c>
      <c r="Q196" s="157" t="s">
        <v>159</v>
      </c>
    </row>
    <row r="197" spans="1:17" ht="15.95" customHeight="1">
      <c r="A197" s="591"/>
      <c r="B197" s="592"/>
      <c r="C197" s="56" t="s">
        <v>130</v>
      </c>
      <c r="D197" s="390">
        <v>29600</v>
      </c>
      <c r="E197" s="390">
        <f>+P197/1000</f>
        <v>31700</v>
      </c>
      <c r="F197" s="46">
        <v>661</v>
      </c>
      <c r="G197" s="71">
        <f>E197-D197</f>
        <v>2100</v>
      </c>
      <c r="H197" s="391">
        <f>G197/D197*100</f>
        <v>7.0945945945945947</v>
      </c>
      <c r="I197" s="142"/>
      <c r="J197" s="169"/>
      <c r="K197" s="245"/>
      <c r="L197" s="168"/>
      <c r="M197" s="145" t="s">
        <v>173</v>
      </c>
      <c r="N197" s="145"/>
      <c r="O197" s="145"/>
      <c r="P197" s="169">
        <f>SUM(P198:P201)</f>
        <v>31700000</v>
      </c>
      <c r="Q197" s="133" t="s">
        <v>159</v>
      </c>
    </row>
    <row r="198" spans="1:17" ht="15.95" customHeight="1">
      <c r="A198" s="365"/>
      <c r="B198" s="146"/>
      <c r="C198" s="57"/>
      <c r="D198" s="392"/>
      <c r="E198" s="392"/>
      <c r="F198" s="47"/>
      <c r="G198" s="71"/>
      <c r="H198" s="393"/>
      <c r="I198" s="432" t="s">
        <v>384</v>
      </c>
      <c r="J198" s="503">
        <v>70000</v>
      </c>
      <c r="K198" s="373" t="s">
        <v>159</v>
      </c>
      <c r="L198" s="382" t="s">
        <v>133</v>
      </c>
      <c r="M198" s="374">
        <v>360</v>
      </c>
      <c r="N198" s="374" t="s">
        <v>136</v>
      </c>
      <c r="O198" s="383" t="s">
        <v>148</v>
      </c>
      <c r="P198" s="503">
        <f>+J198*M198</f>
        <v>25200000</v>
      </c>
      <c r="Q198" s="157" t="s">
        <v>159</v>
      </c>
    </row>
    <row r="199" spans="1:17" ht="15.95" customHeight="1">
      <c r="A199" s="365"/>
      <c r="B199" s="146"/>
      <c r="C199" s="57"/>
      <c r="D199" s="392"/>
      <c r="E199" s="392"/>
      <c r="F199" s="47"/>
      <c r="G199" s="71"/>
      <c r="H199" s="393"/>
      <c r="I199" s="432" t="s">
        <v>427</v>
      </c>
      <c r="J199" s="503">
        <v>1500000</v>
      </c>
      <c r="K199" s="373" t="s">
        <v>159</v>
      </c>
      <c r="L199" s="382" t="s">
        <v>133</v>
      </c>
      <c r="M199" s="374">
        <v>1</v>
      </c>
      <c r="N199" s="374" t="s">
        <v>136</v>
      </c>
      <c r="O199" s="383" t="s">
        <v>148</v>
      </c>
      <c r="P199" s="503">
        <f>+J199*M199</f>
        <v>1500000</v>
      </c>
      <c r="Q199" s="157" t="s">
        <v>159</v>
      </c>
    </row>
    <row r="200" spans="1:17" ht="15.95" customHeight="1">
      <c r="A200" s="365"/>
      <c r="B200" s="146"/>
      <c r="C200" s="57"/>
      <c r="D200" s="392"/>
      <c r="E200" s="392"/>
      <c r="F200" s="47"/>
      <c r="G200" s="71"/>
      <c r="H200" s="393"/>
      <c r="I200" s="593" t="s">
        <v>117</v>
      </c>
      <c r="J200" s="503"/>
      <c r="K200" s="373" t="s">
        <v>159</v>
      </c>
      <c r="L200" s="382" t="s">
        <v>133</v>
      </c>
      <c r="M200" s="374"/>
      <c r="N200" s="374" t="s">
        <v>136</v>
      </c>
      <c r="O200" s="383" t="s">
        <v>148</v>
      </c>
      <c r="P200" s="503">
        <f>+J200*M200</f>
        <v>0</v>
      </c>
      <c r="Q200" s="157" t="s">
        <v>159</v>
      </c>
    </row>
    <row r="201" spans="1:17" ht="15.95" customHeight="1">
      <c r="A201" s="365"/>
      <c r="B201" s="285"/>
      <c r="C201" s="58"/>
      <c r="D201" s="397"/>
      <c r="E201" s="397"/>
      <c r="F201" s="398"/>
      <c r="G201" s="71"/>
      <c r="H201" s="399"/>
      <c r="I201" s="594" t="s">
        <v>433</v>
      </c>
      <c r="J201" s="256">
        <v>5000000</v>
      </c>
      <c r="K201" s="408" t="s">
        <v>159</v>
      </c>
      <c r="L201" s="258" t="s">
        <v>133</v>
      </c>
      <c r="M201" s="257">
        <v>1</v>
      </c>
      <c r="N201" s="257" t="s">
        <v>136</v>
      </c>
      <c r="O201" s="259" t="s">
        <v>148</v>
      </c>
      <c r="P201" s="256">
        <f>+J201*M201</f>
        <v>5000000</v>
      </c>
      <c r="Q201" s="260" t="s">
        <v>159</v>
      </c>
    </row>
    <row r="202" spans="1:17" ht="20.100000000000001" customHeight="1">
      <c r="A202" s="514"/>
      <c r="B202" s="123" t="s">
        <v>236</v>
      </c>
      <c r="C202" s="18" t="s">
        <v>180</v>
      </c>
      <c r="D202" s="595">
        <f>SUM(D203:D212)</f>
        <v>12864</v>
      </c>
      <c r="E202" s="595">
        <f>SUM(E203:E212)</f>
        <v>12864</v>
      </c>
      <c r="F202" s="15">
        <f>SUM(F203:F212)</f>
        <v>16571</v>
      </c>
      <c r="G202" s="596">
        <f>+E202-D202</f>
        <v>0</v>
      </c>
      <c r="H202" s="597">
        <f>+G202/D202*100</f>
        <v>0</v>
      </c>
      <c r="I202" s="395"/>
      <c r="J202" s="503"/>
      <c r="K202" s="373"/>
      <c r="L202" s="258"/>
      <c r="M202" s="257"/>
      <c r="N202" s="257"/>
      <c r="O202" s="259"/>
      <c r="P202" s="256">
        <f>SUM(P203,P210)</f>
        <v>12864000</v>
      </c>
      <c r="Q202" s="260" t="s">
        <v>159</v>
      </c>
    </row>
    <row r="203" spans="1:17" ht="15.95" customHeight="1">
      <c r="A203" s="365"/>
      <c r="B203" s="592"/>
      <c r="C203" s="375" t="s">
        <v>219</v>
      </c>
      <c r="D203" s="390">
        <v>10064</v>
      </c>
      <c r="E203" s="390">
        <f>+P203/1000</f>
        <v>10064</v>
      </c>
      <c r="F203" s="46">
        <v>9358</v>
      </c>
      <c r="G203" s="377">
        <f>+E203-D203</f>
        <v>0</v>
      </c>
      <c r="H203" s="391">
        <f>+G203/D203*100</f>
        <v>0</v>
      </c>
      <c r="I203" s="396"/>
      <c r="J203" s="169"/>
      <c r="K203" s="245"/>
      <c r="L203" s="245"/>
      <c r="M203" s="145" t="s">
        <v>173</v>
      </c>
      <c r="N203" s="145"/>
      <c r="O203" s="145"/>
      <c r="P203" s="132">
        <f>SUM(P204:P209)</f>
        <v>10064000</v>
      </c>
      <c r="Q203" s="133" t="s">
        <v>159</v>
      </c>
    </row>
    <row r="204" spans="1:17" ht="15.95" customHeight="1">
      <c r="A204" s="365"/>
      <c r="B204" s="146"/>
      <c r="C204" s="62"/>
      <c r="D204" s="392"/>
      <c r="E204" s="392"/>
      <c r="F204" s="47"/>
      <c r="G204" s="380"/>
      <c r="H204" s="393"/>
      <c r="I204" s="395" t="s">
        <v>383</v>
      </c>
      <c r="J204" s="503">
        <v>22000</v>
      </c>
      <c r="K204" s="373" t="s">
        <v>159</v>
      </c>
      <c r="L204" s="382" t="s">
        <v>133</v>
      </c>
      <c r="M204" s="374">
        <v>12</v>
      </c>
      <c r="N204" s="374" t="s">
        <v>141</v>
      </c>
      <c r="O204" s="383" t="s">
        <v>148</v>
      </c>
      <c r="P204" s="503">
        <f>SUM(J204*M204)</f>
        <v>264000</v>
      </c>
      <c r="Q204" s="157" t="s">
        <v>159</v>
      </c>
    </row>
    <row r="205" spans="1:17" ht="15.95" customHeight="1">
      <c r="A205" s="365"/>
      <c r="B205" s="146"/>
      <c r="C205" s="62"/>
      <c r="D205" s="392"/>
      <c r="E205" s="392"/>
      <c r="F205" s="47"/>
      <c r="G205" s="380"/>
      <c r="H205" s="393"/>
      <c r="I205" s="395" t="s">
        <v>333</v>
      </c>
      <c r="J205" s="503">
        <v>300000</v>
      </c>
      <c r="K205" s="373" t="s">
        <v>159</v>
      </c>
      <c r="L205" s="382" t="s">
        <v>133</v>
      </c>
      <c r="M205" s="374">
        <v>12</v>
      </c>
      <c r="N205" s="374" t="s">
        <v>141</v>
      </c>
      <c r="O205" s="383" t="s">
        <v>148</v>
      </c>
      <c r="P205" s="503">
        <f>SUM(J205*M205)</f>
        <v>3600000</v>
      </c>
      <c r="Q205" s="157" t="s">
        <v>159</v>
      </c>
    </row>
    <row r="206" spans="1:17" ht="15.95" customHeight="1">
      <c r="A206" s="365"/>
      <c r="B206" s="146"/>
      <c r="C206" s="62"/>
      <c r="D206" s="392"/>
      <c r="E206" s="392"/>
      <c r="F206" s="47"/>
      <c r="G206" s="380"/>
      <c r="H206" s="393"/>
      <c r="I206" s="395" t="s">
        <v>413</v>
      </c>
      <c r="J206" s="503">
        <v>85000</v>
      </c>
      <c r="K206" s="373" t="s">
        <v>159</v>
      </c>
      <c r="L206" s="382" t="s">
        <v>133</v>
      </c>
      <c r="M206" s="374">
        <v>12</v>
      </c>
      <c r="N206" s="374" t="s">
        <v>141</v>
      </c>
      <c r="O206" s="383" t="s">
        <v>148</v>
      </c>
      <c r="P206" s="503">
        <f>SUM(J206*M206)</f>
        <v>1020000</v>
      </c>
      <c r="Q206" s="157" t="s">
        <v>159</v>
      </c>
    </row>
    <row r="207" spans="1:17" ht="15.95" customHeight="1">
      <c r="A207" s="365"/>
      <c r="B207" s="146"/>
      <c r="C207" s="62"/>
      <c r="D207" s="392"/>
      <c r="E207" s="392"/>
      <c r="F207" s="47"/>
      <c r="G207" s="380"/>
      <c r="H207" s="393"/>
      <c r="I207" s="395" t="s">
        <v>37</v>
      </c>
      <c r="J207" s="503">
        <v>380000</v>
      </c>
      <c r="K207" s="373" t="s">
        <v>159</v>
      </c>
      <c r="L207" s="382" t="s">
        <v>133</v>
      </c>
      <c r="M207" s="374">
        <v>12</v>
      </c>
      <c r="N207" s="374" t="s">
        <v>141</v>
      </c>
      <c r="O207" s="383" t="s">
        <v>148</v>
      </c>
      <c r="P207" s="503">
        <f>SUM(J207*M207)</f>
        <v>4560000</v>
      </c>
      <c r="Q207" s="157" t="s">
        <v>159</v>
      </c>
    </row>
    <row r="208" spans="1:17" ht="15.95" customHeight="1">
      <c r="A208" s="365"/>
      <c r="B208" s="146"/>
      <c r="C208" s="62"/>
      <c r="D208" s="392"/>
      <c r="E208" s="392"/>
      <c r="F208" s="47"/>
      <c r="G208" s="380"/>
      <c r="H208" s="393"/>
      <c r="I208" s="395" t="s">
        <v>445</v>
      </c>
      <c r="J208" s="503">
        <v>35000</v>
      </c>
      <c r="K208" s="373" t="s">
        <v>159</v>
      </c>
      <c r="L208" s="382" t="s">
        <v>133</v>
      </c>
      <c r="M208" s="374">
        <v>12</v>
      </c>
      <c r="N208" s="374" t="s">
        <v>136</v>
      </c>
      <c r="O208" s="383" t="s">
        <v>148</v>
      </c>
      <c r="P208" s="503">
        <f>SUM(J208*M208)</f>
        <v>420000</v>
      </c>
      <c r="Q208" s="157" t="s">
        <v>159</v>
      </c>
    </row>
    <row r="209" spans="1:17" ht="15.95" customHeight="1">
      <c r="A209" s="365"/>
      <c r="B209" s="146"/>
      <c r="C209" s="62"/>
      <c r="D209" s="392"/>
      <c r="E209" s="392"/>
      <c r="F209" s="15"/>
      <c r="G209" s="380"/>
      <c r="H209" s="393"/>
      <c r="I209" s="395" t="s">
        <v>314</v>
      </c>
      <c r="J209" s="503">
        <v>200000</v>
      </c>
      <c r="K209" s="373" t="s">
        <v>159</v>
      </c>
      <c r="L209" s="382" t="s">
        <v>133</v>
      </c>
      <c r="M209" s="374">
        <v>1</v>
      </c>
      <c r="N209" s="374" t="s">
        <v>136</v>
      </c>
      <c r="O209" s="383" t="s">
        <v>148</v>
      </c>
      <c r="P209" s="503">
        <f>J209*M209</f>
        <v>200000</v>
      </c>
      <c r="Q209" s="157" t="s">
        <v>159</v>
      </c>
    </row>
    <row r="210" spans="1:17" ht="15.95" customHeight="1">
      <c r="A210" s="365"/>
      <c r="B210" s="146"/>
      <c r="C210" s="375" t="s">
        <v>247</v>
      </c>
      <c r="D210" s="390">
        <v>2800</v>
      </c>
      <c r="E210" s="390">
        <f>+P210/1000</f>
        <v>2800</v>
      </c>
      <c r="F210" s="46">
        <v>7213</v>
      </c>
      <c r="G210" s="377">
        <f>+E210-D210</f>
        <v>0</v>
      </c>
      <c r="H210" s="391"/>
      <c r="I210" s="396"/>
      <c r="J210" s="169"/>
      <c r="K210" s="245"/>
      <c r="L210" s="168"/>
      <c r="M210" s="145" t="s">
        <v>173</v>
      </c>
      <c r="N210" s="145"/>
      <c r="O210" s="145"/>
      <c r="P210" s="132">
        <f>SUM(P211:P212)</f>
        <v>2800000</v>
      </c>
      <c r="Q210" s="133" t="s">
        <v>159</v>
      </c>
    </row>
    <row r="211" spans="1:17" ht="15.95" customHeight="1">
      <c r="A211" s="365"/>
      <c r="B211" s="146"/>
      <c r="C211" s="62"/>
      <c r="D211" s="598"/>
      <c r="E211" s="598"/>
      <c r="F211" s="47"/>
      <c r="G211" s="544"/>
      <c r="H211" s="599"/>
      <c r="I211" s="411" t="s">
        <v>284</v>
      </c>
      <c r="J211" s="503">
        <v>150000</v>
      </c>
      <c r="K211" s="373" t="s">
        <v>159</v>
      </c>
      <c r="L211" s="382" t="s">
        <v>133</v>
      </c>
      <c r="M211" s="374">
        <v>12</v>
      </c>
      <c r="N211" s="374" t="s">
        <v>136</v>
      </c>
      <c r="O211" s="383"/>
      <c r="P211" s="503">
        <f>SUM(J211*M211)</f>
        <v>1800000</v>
      </c>
      <c r="Q211" s="157" t="s">
        <v>159</v>
      </c>
    </row>
    <row r="212" spans="1:17" ht="15.95" customHeight="1">
      <c r="A212" s="365"/>
      <c r="B212" s="146"/>
      <c r="C212" s="62"/>
      <c r="D212" s="598"/>
      <c r="E212" s="598"/>
      <c r="F212" s="47"/>
      <c r="G212" s="544"/>
      <c r="H212" s="599"/>
      <c r="I212" s="395" t="s">
        <v>350</v>
      </c>
      <c r="J212" s="503">
        <v>1000000</v>
      </c>
      <c r="K212" s="373" t="s">
        <v>159</v>
      </c>
      <c r="L212" s="382" t="s">
        <v>133</v>
      </c>
      <c r="M212" s="374">
        <v>1</v>
      </c>
      <c r="N212" s="374" t="s">
        <v>136</v>
      </c>
      <c r="O212" s="383" t="s">
        <v>148</v>
      </c>
      <c r="P212" s="503">
        <f>SUM(J212*M212)</f>
        <v>1000000</v>
      </c>
      <c r="Q212" s="157" t="s">
        <v>159</v>
      </c>
    </row>
    <row r="213" spans="1:17" ht="21.75" customHeight="1">
      <c r="A213" s="600" t="s">
        <v>140</v>
      </c>
      <c r="B213" s="178" t="s">
        <v>179</v>
      </c>
      <c r="C213" s="179"/>
      <c r="D213" s="601">
        <f>SUM(D214:D308)</f>
        <v>1595033.9099229998</v>
      </c>
      <c r="E213" s="601">
        <f t="shared" ref="E213:E238" si="6">P213/1000</f>
        <v>1358530.0000500001</v>
      </c>
      <c r="F213" s="602" t="e">
        <f>SUM(F214:F222,F226:F306)</f>
        <v>#VALUE!</v>
      </c>
      <c r="G213" s="603">
        <f>+E213-D213</f>
        <v>-236503.90987299965</v>
      </c>
      <c r="H213" s="604">
        <f t="shared" ref="H213:H225" si="7">+G213/D213*100</f>
        <v>-14.827516104934526</v>
      </c>
      <c r="I213" s="493"/>
      <c r="J213" s="305"/>
      <c r="K213" s="185"/>
      <c r="L213" s="186"/>
      <c r="M213" s="186"/>
      <c r="N213" s="186"/>
      <c r="O213" s="186"/>
      <c r="P213" s="305">
        <f>SUM(P214:P308)</f>
        <v>1358530000.0500002</v>
      </c>
      <c r="Q213" s="231" t="s">
        <v>159</v>
      </c>
    </row>
    <row r="214" spans="1:17" ht="17.45" customHeight="1">
      <c r="A214" s="365"/>
      <c r="B214" s="242" t="s">
        <v>140</v>
      </c>
      <c r="C214" s="22" t="s">
        <v>241</v>
      </c>
      <c r="D214" s="605">
        <v>43000</v>
      </c>
      <c r="E214" s="489">
        <f t="shared" si="6"/>
        <v>43000</v>
      </c>
      <c r="F214" s="606"/>
      <c r="G214" s="491">
        <f t="shared" ref="G214:G222" si="8">E214-D214</f>
        <v>0</v>
      </c>
      <c r="H214" s="492">
        <f t="shared" si="7"/>
        <v>0</v>
      </c>
      <c r="I214" s="607" t="s">
        <v>361</v>
      </c>
      <c r="J214" s="143">
        <v>10750000</v>
      </c>
      <c r="K214" s="608" t="s">
        <v>159</v>
      </c>
      <c r="L214" s="609" t="s">
        <v>133</v>
      </c>
      <c r="M214" s="610">
        <v>4</v>
      </c>
      <c r="N214" s="610" t="s">
        <v>136</v>
      </c>
      <c r="O214" s="611" t="s">
        <v>148</v>
      </c>
      <c r="P214" s="143">
        <f>J214*M214</f>
        <v>43000000</v>
      </c>
      <c r="Q214" s="612" t="s">
        <v>159</v>
      </c>
    </row>
    <row r="215" spans="1:17" ht="17.45" customHeight="1">
      <c r="A215" s="365"/>
      <c r="B215" s="242"/>
      <c r="C215" s="613" t="s">
        <v>25</v>
      </c>
      <c r="D215" s="605">
        <v>40000</v>
      </c>
      <c r="E215" s="489">
        <f t="shared" si="6"/>
        <v>40000</v>
      </c>
      <c r="F215" s="606"/>
      <c r="G215" s="491">
        <f t="shared" si="8"/>
        <v>0</v>
      </c>
      <c r="H215" s="492">
        <f t="shared" si="7"/>
        <v>0</v>
      </c>
      <c r="I215" s="607" t="s">
        <v>361</v>
      </c>
      <c r="J215" s="372">
        <v>10000000</v>
      </c>
      <c r="K215" s="614" t="s">
        <v>159</v>
      </c>
      <c r="L215" s="615" t="s">
        <v>133</v>
      </c>
      <c r="M215" s="616">
        <v>4</v>
      </c>
      <c r="N215" s="616" t="s">
        <v>136</v>
      </c>
      <c r="O215" s="617" t="s">
        <v>148</v>
      </c>
      <c r="P215" s="372">
        <f t="shared" ref="P215:P277" si="9">J215*M215</f>
        <v>40000000</v>
      </c>
      <c r="Q215" s="618" t="s">
        <v>159</v>
      </c>
    </row>
    <row r="216" spans="1:17" ht="17.45" customHeight="1">
      <c r="A216" s="365"/>
      <c r="B216" s="242"/>
      <c r="C216" s="22" t="s">
        <v>337</v>
      </c>
      <c r="D216" s="489">
        <v>51000</v>
      </c>
      <c r="E216" s="489">
        <f t="shared" si="6"/>
        <v>48000</v>
      </c>
      <c r="F216" s="606"/>
      <c r="G216" s="491">
        <f t="shared" si="8"/>
        <v>-3000</v>
      </c>
      <c r="H216" s="492">
        <f t="shared" si="7"/>
        <v>-5.8823529411764701</v>
      </c>
      <c r="I216" s="607" t="s">
        <v>361</v>
      </c>
      <c r="J216" s="372">
        <v>12000000</v>
      </c>
      <c r="K216" s="614" t="s">
        <v>159</v>
      </c>
      <c r="L216" s="615" t="s">
        <v>133</v>
      </c>
      <c r="M216" s="616">
        <v>4</v>
      </c>
      <c r="N216" s="616" t="s">
        <v>136</v>
      </c>
      <c r="O216" s="617" t="s">
        <v>148</v>
      </c>
      <c r="P216" s="372">
        <f t="shared" si="9"/>
        <v>48000000</v>
      </c>
      <c r="Q216" s="618" t="s">
        <v>159</v>
      </c>
    </row>
    <row r="217" spans="1:17" ht="17.45" customHeight="1">
      <c r="A217" s="365"/>
      <c r="B217" s="146"/>
      <c r="C217" s="22" t="s">
        <v>336</v>
      </c>
      <c r="D217" s="605">
        <v>58000</v>
      </c>
      <c r="E217" s="489">
        <f t="shared" si="6"/>
        <v>40000</v>
      </c>
      <c r="F217" s="606"/>
      <c r="G217" s="491">
        <f t="shared" si="8"/>
        <v>-18000</v>
      </c>
      <c r="H217" s="492">
        <f t="shared" si="7"/>
        <v>-31.03448275862069</v>
      </c>
      <c r="I217" s="607" t="s">
        <v>361</v>
      </c>
      <c r="J217" s="372">
        <v>10000000</v>
      </c>
      <c r="K217" s="614" t="s">
        <v>159</v>
      </c>
      <c r="L217" s="615" t="s">
        <v>133</v>
      </c>
      <c r="M217" s="616">
        <v>4</v>
      </c>
      <c r="N217" s="616" t="s">
        <v>136</v>
      </c>
      <c r="O217" s="617" t="s">
        <v>148</v>
      </c>
      <c r="P217" s="372">
        <f t="shared" si="9"/>
        <v>40000000</v>
      </c>
      <c r="Q217" s="618" t="s">
        <v>159</v>
      </c>
    </row>
    <row r="218" spans="1:17" ht="17.45" customHeight="1">
      <c r="A218" s="514"/>
      <c r="B218" s="242"/>
      <c r="C218" s="619" t="s">
        <v>243</v>
      </c>
      <c r="D218" s="620">
        <v>58000</v>
      </c>
      <c r="E218" s="620">
        <f t="shared" si="6"/>
        <v>40000</v>
      </c>
      <c r="F218" s="621"/>
      <c r="G218" s="519">
        <f t="shared" si="8"/>
        <v>-18000</v>
      </c>
      <c r="H218" s="520">
        <f t="shared" si="7"/>
        <v>-31.03448275862069</v>
      </c>
      <c r="I218" s="607" t="s">
        <v>361</v>
      </c>
      <c r="J218" s="372">
        <v>10000000</v>
      </c>
      <c r="K218" s="614" t="s">
        <v>159</v>
      </c>
      <c r="L218" s="615" t="s">
        <v>133</v>
      </c>
      <c r="M218" s="616">
        <v>4</v>
      </c>
      <c r="N218" s="616" t="s">
        <v>136</v>
      </c>
      <c r="O218" s="617" t="s">
        <v>148</v>
      </c>
      <c r="P218" s="372">
        <f t="shared" si="9"/>
        <v>40000000</v>
      </c>
      <c r="Q218" s="618" t="s">
        <v>159</v>
      </c>
    </row>
    <row r="219" spans="1:17" ht="17.45" customHeight="1">
      <c r="A219" s="109"/>
      <c r="B219" s="242"/>
      <c r="C219" s="619" t="s">
        <v>297</v>
      </c>
      <c r="D219" s="517">
        <v>36000</v>
      </c>
      <c r="E219" s="620">
        <f t="shared" si="6"/>
        <v>36000</v>
      </c>
      <c r="F219" s="621"/>
      <c r="G219" s="519">
        <f t="shared" si="8"/>
        <v>0</v>
      </c>
      <c r="H219" s="520">
        <f t="shared" si="7"/>
        <v>0</v>
      </c>
      <c r="I219" s="607" t="s">
        <v>361</v>
      </c>
      <c r="J219" s="372">
        <v>9000000</v>
      </c>
      <c r="K219" s="614" t="s">
        <v>159</v>
      </c>
      <c r="L219" s="615" t="s">
        <v>133</v>
      </c>
      <c r="M219" s="616">
        <v>4</v>
      </c>
      <c r="N219" s="616" t="s">
        <v>136</v>
      </c>
      <c r="O219" s="617" t="s">
        <v>148</v>
      </c>
      <c r="P219" s="372">
        <f t="shared" si="9"/>
        <v>36000000</v>
      </c>
      <c r="Q219" s="618" t="s">
        <v>159</v>
      </c>
    </row>
    <row r="220" spans="1:17" ht="17.45" customHeight="1">
      <c r="A220" s="514"/>
      <c r="B220" s="242"/>
      <c r="C220" s="22" t="s">
        <v>272</v>
      </c>
      <c r="D220" s="605">
        <v>59491</v>
      </c>
      <c r="E220" s="489">
        <f t="shared" si="6"/>
        <v>45000</v>
      </c>
      <c r="F220" s="606"/>
      <c r="G220" s="491">
        <f t="shared" si="8"/>
        <v>-14491</v>
      </c>
      <c r="H220" s="492">
        <f t="shared" si="7"/>
        <v>-24.358306298431696</v>
      </c>
      <c r="I220" s="607" t="s">
        <v>361</v>
      </c>
      <c r="J220" s="372">
        <v>11250000</v>
      </c>
      <c r="K220" s="614" t="s">
        <v>159</v>
      </c>
      <c r="L220" s="615" t="s">
        <v>133</v>
      </c>
      <c r="M220" s="616">
        <v>4</v>
      </c>
      <c r="N220" s="616" t="s">
        <v>136</v>
      </c>
      <c r="O220" s="617" t="s">
        <v>148</v>
      </c>
      <c r="P220" s="372">
        <f t="shared" si="9"/>
        <v>45000000</v>
      </c>
      <c r="Q220" s="622" t="s">
        <v>159</v>
      </c>
    </row>
    <row r="221" spans="1:17" ht="17.45" customHeight="1">
      <c r="A221" s="514" t="s">
        <v>140</v>
      </c>
      <c r="B221" s="242" t="s">
        <v>140</v>
      </c>
      <c r="C221" s="619" t="s">
        <v>263</v>
      </c>
      <c r="D221" s="517">
        <v>41936.61</v>
      </c>
      <c r="E221" s="620">
        <f t="shared" si="6"/>
        <v>40000</v>
      </c>
      <c r="F221" s="621"/>
      <c r="G221" s="519">
        <f t="shared" si="8"/>
        <v>-1936.6100000000006</v>
      </c>
      <c r="H221" s="520">
        <f t="shared" si="7"/>
        <v>-4.6179459903888294</v>
      </c>
      <c r="I221" s="623" t="s">
        <v>361</v>
      </c>
      <c r="J221" s="372">
        <v>10000000</v>
      </c>
      <c r="K221" s="614" t="s">
        <v>159</v>
      </c>
      <c r="L221" s="615" t="s">
        <v>133</v>
      </c>
      <c r="M221" s="616">
        <v>4</v>
      </c>
      <c r="N221" s="616" t="s">
        <v>136</v>
      </c>
      <c r="O221" s="617" t="s">
        <v>148</v>
      </c>
      <c r="P221" s="372">
        <f t="shared" si="9"/>
        <v>40000000</v>
      </c>
      <c r="Q221" s="618" t="s">
        <v>159</v>
      </c>
    </row>
    <row r="222" spans="1:17" ht="18" customHeight="1">
      <c r="A222" s="365"/>
      <c r="B222" s="146"/>
      <c r="C222" s="22" t="s">
        <v>64</v>
      </c>
      <c r="D222" s="605">
        <v>60000</v>
      </c>
      <c r="E222" s="489">
        <f t="shared" si="6"/>
        <v>60000</v>
      </c>
      <c r="F222" s="606"/>
      <c r="G222" s="491">
        <f t="shared" si="8"/>
        <v>0</v>
      </c>
      <c r="H222" s="492">
        <f t="shared" si="7"/>
        <v>0</v>
      </c>
      <c r="I222" s="607" t="s">
        <v>361</v>
      </c>
      <c r="J222" s="372">
        <v>15000000</v>
      </c>
      <c r="K222" s="614" t="s">
        <v>159</v>
      </c>
      <c r="L222" s="615" t="s">
        <v>133</v>
      </c>
      <c r="M222" s="616">
        <v>4</v>
      </c>
      <c r="N222" s="616" t="s">
        <v>136</v>
      </c>
      <c r="O222" s="617" t="s">
        <v>148</v>
      </c>
      <c r="P222" s="372">
        <f t="shared" si="9"/>
        <v>60000000</v>
      </c>
      <c r="Q222" s="618" t="s">
        <v>159</v>
      </c>
    </row>
    <row r="223" spans="1:17" ht="17.45" customHeight="1">
      <c r="A223" s="365"/>
      <c r="B223" s="146"/>
      <c r="C223" s="613" t="s">
        <v>32</v>
      </c>
      <c r="D223" s="489">
        <v>343000</v>
      </c>
      <c r="E223" s="489">
        <f t="shared" si="6"/>
        <v>340000.00020000001</v>
      </c>
      <c r="F223" s="606"/>
      <c r="G223" s="491">
        <f>+E223-D223</f>
        <v>-2999.9997999999905</v>
      </c>
      <c r="H223" s="492">
        <f t="shared" si="7"/>
        <v>-0.87463551020407881</v>
      </c>
      <c r="I223" s="607" t="s">
        <v>436</v>
      </c>
      <c r="J223" s="372">
        <v>24285714.300000001</v>
      </c>
      <c r="K223" s="614" t="s">
        <v>159</v>
      </c>
      <c r="L223" s="615" t="s">
        <v>133</v>
      </c>
      <c r="M223" s="616">
        <v>14</v>
      </c>
      <c r="N223" s="616" t="s">
        <v>136</v>
      </c>
      <c r="O223" s="617" t="s">
        <v>148</v>
      </c>
      <c r="P223" s="372">
        <f t="shared" si="9"/>
        <v>340000000.19999999</v>
      </c>
      <c r="Q223" s="618" t="s">
        <v>159</v>
      </c>
    </row>
    <row r="224" spans="1:17" ht="17.45" customHeight="1">
      <c r="A224" s="365"/>
      <c r="B224" s="146"/>
      <c r="C224" s="22" t="s">
        <v>208</v>
      </c>
      <c r="D224" s="605">
        <v>45000</v>
      </c>
      <c r="E224" s="489">
        <f t="shared" si="6"/>
        <v>40000</v>
      </c>
      <c r="F224" s="606"/>
      <c r="G224" s="491">
        <f>E224-D224</f>
        <v>-5000</v>
      </c>
      <c r="H224" s="492">
        <f t="shared" si="7"/>
        <v>-11.111111111111111</v>
      </c>
      <c r="I224" s="607" t="s">
        <v>361</v>
      </c>
      <c r="J224" s="372">
        <v>10000000</v>
      </c>
      <c r="K224" s="614" t="s">
        <v>159</v>
      </c>
      <c r="L224" s="615" t="s">
        <v>133</v>
      </c>
      <c r="M224" s="616">
        <v>4</v>
      </c>
      <c r="N224" s="616" t="s">
        <v>136</v>
      </c>
      <c r="O224" s="617" t="s">
        <v>148</v>
      </c>
      <c r="P224" s="372">
        <f t="shared" si="9"/>
        <v>40000000</v>
      </c>
      <c r="Q224" s="622" t="s">
        <v>159</v>
      </c>
    </row>
    <row r="225" spans="1:17" ht="17.45" customHeight="1">
      <c r="A225" s="514"/>
      <c r="B225" s="242"/>
      <c r="C225" s="624" t="s">
        <v>101</v>
      </c>
      <c r="D225" s="620">
        <v>15000</v>
      </c>
      <c r="E225" s="620">
        <f t="shared" si="6"/>
        <v>15000</v>
      </c>
      <c r="F225" s="621"/>
      <c r="G225" s="519">
        <f>+E225-D225</f>
        <v>0</v>
      </c>
      <c r="H225" s="520">
        <f t="shared" si="7"/>
        <v>0</v>
      </c>
      <c r="I225" s="607" t="s">
        <v>361</v>
      </c>
      <c r="J225" s="372">
        <v>3750000</v>
      </c>
      <c r="K225" s="614" t="s">
        <v>159</v>
      </c>
      <c r="L225" s="615" t="s">
        <v>133</v>
      </c>
      <c r="M225" s="616">
        <v>4</v>
      </c>
      <c r="N225" s="616" t="s">
        <v>136</v>
      </c>
      <c r="O225" s="617" t="s">
        <v>148</v>
      </c>
      <c r="P225" s="372">
        <f t="shared" si="9"/>
        <v>15000000</v>
      </c>
      <c r="Q225" s="618" t="s">
        <v>159</v>
      </c>
    </row>
    <row r="226" spans="1:17" ht="17.45" customHeight="1">
      <c r="A226" s="365"/>
      <c r="B226" s="146"/>
      <c r="C226" s="613" t="s">
        <v>90</v>
      </c>
      <c r="D226" s="489">
        <v>28000</v>
      </c>
      <c r="E226" s="489">
        <f t="shared" si="6"/>
        <v>28000</v>
      </c>
      <c r="F226" s="606"/>
      <c r="G226" s="491">
        <f>E226-D226</f>
        <v>0</v>
      </c>
      <c r="H226" s="492">
        <f>+G226/D226*100</f>
        <v>0</v>
      </c>
      <c r="I226" s="607" t="s">
        <v>361</v>
      </c>
      <c r="J226" s="372">
        <v>7000000</v>
      </c>
      <c r="K226" s="614" t="s">
        <v>159</v>
      </c>
      <c r="L226" s="615" t="s">
        <v>133</v>
      </c>
      <c r="M226" s="616">
        <v>4</v>
      </c>
      <c r="N226" s="616" t="s">
        <v>136</v>
      </c>
      <c r="O226" s="617" t="s">
        <v>148</v>
      </c>
      <c r="P226" s="372">
        <f t="shared" si="9"/>
        <v>28000000</v>
      </c>
      <c r="Q226" s="618" t="s">
        <v>159</v>
      </c>
    </row>
    <row r="227" spans="1:17" ht="17.45" customHeight="1">
      <c r="A227" s="365"/>
      <c r="B227" s="146"/>
      <c r="C227" s="613" t="s">
        <v>89</v>
      </c>
      <c r="D227" s="489">
        <v>2000</v>
      </c>
      <c r="E227" s="489">
        <f t="shared" si="6"/>
        <v>2000</v>
      </c>
      <c r="F227" s="606"/>
      <c r="G227" s="491">
        <f>E227-D227</f>
        <v>0</v>
      </c>
      <c r="H227" s="492">
        <f>+G227/D227*100</f>
        <v>0</v>
      </c>
      <c r="I227" s="607" t="s">
        <v>361</v>
      </c>
      <c r="J227" s="372">
        <v>500000</v>
      </c>
      <c r="K227" s="614" t="s">
        <v>159</v>
      </c>
      <c r="L227" s="615" t="s">
        <v>133</v>
      </c>
      <c r="M227" s="616">
        <v>4</v>
      </c>
      <c r="N227" s="616" t="s">
        <v>136</v>
      </c>
      <c r="O227" s="617" t="s">
        <v>148</v>
      </c>
      <c r="P227" s="372">
        <f t="shared" si="9"/>
        <v>2000000</v>
      </c>
      <c r="Q227" s="618" t="s">
        <v>159</v>
      </c>
    </row>
    <row r="228" spans="1:17" ht="17.45" customHeight="1">
      <c r="A228" s="365"/>
      <c r="B228" s="146"/>
      <c r="C228" s="22" t="s">
        <v>265</v>
      </c>
      <c r="D228" s="489">
        <v>20000</v>
      </c>
      <c r="E228" s="489">
        <f t="shared" si="6"/>
        <v>20000</v>
      </c>
      <c r="F228" s="606"/>
      <c r="G228" s="491">
        <f t="shared" ref="G228:G238" si="10">+E228-D228</f>
        <v>0</v>
      </c>
      <c r="H228" s="492">
        <f>+G228/D228*100</f>
        <v>0</v>
      </c>
      <c r="I228" s="623" t="s">
        <v>361</v>
      </c>
      <c r="J228" s="372">
        <v>5000000</v>
      </c>
      <c r="K228" s="614" t="s">
        <v>159</v>
      </c>
      <c r="L228" s="615" t="s">
        <v>133</v>
      </c>
      <c r="M228" s="616">
        <v>4</v>
      </c>
      <c r="N228" s="616" t="s">
        <v>136</v>
      </c>
      <c r="O228" s="617" t="s">
        <v>148</v>
      </c>
      <c r="P228" s="372">
        <f t="shared" si="9"/>
        <v>20000000</v>
      </c>
      <c r="Q228" s="618" t="s">
        <v>159</v>
      </c>
    </row>
    <row r="229" spans="1:17" ht="17.45" customHeight="1">
      <c r="A229" s="365"/>
      <c r="B229" s="146"/>
      <c r="C229" s="625" t="s">
        <v>120</v>
      </c>
      <c r="D229" s="566">
        <v>0</v>
      </c>
      <c r="E229" s="489">
        <f t="shared" si="6"/>
        <v>3600</v>
      </c>
      <c r="F229" s="626"/>
      <c r="G229" s="491">
        <f t="shared" si="10"/>
        <v>3600</v>
      </c>
      <c r="H229" s="627" t="s">
        <v>183</v>
      </c>
      <c r="I229" s="623" t="s">
        <v>361</v>
      </c>
      <c r="J229" s="372">
        <v>3600000</v>
      </c>
      <c r="K229" s="614" t="s">
        <v>159</v>
      </c>
      <c r="L229" s="615" t="s">
        <v>133</v>
      </c>
      <c r="M229" s="616">
        <v>1</v>
      </c>
      <c r="N229" s="616" t="s">
        <v>136</v>
      </c>
      <c r="O229" s="617" t="s">
        <v>148</v>
      </c>
      <c r="P229" s="372">
        <f>J229*M229</f>
        <v>3600000</v>
      </c>
      <c r="Q229" s="618" t="s">
        <v>159</v>
      </c>
    </row>
    <row r="230" spans="1:17" ht="17.45" customHeight="1">
      <c r="A230" s="365"/>
      <c r="B230" s="146"/>
      <c r="C230" s="625" t="s">
        <v>121</v>
      </c>
      <c r="D230" s="566">
        <v>0</v>
      </c>
      <c r="E230" s="489">
        <f t="shared" si="6"/>
        <v>3600</v>
      </c>
      <c r="F230" s="626"/>
      <c r="G230" s="491">
        <f t="shared" si="10"/>
        <v>3600</v>
      </c>
      <c r="H230" s="627" t="s">
        <v>183</v>
      </c>
      <c r="I230" s="623" t="s">
        <v>361</v>
      </c>
      <c r="J230" s="372">
        <v>3600000</v>
      </c>
      <c r="K230" s="614" t="s">
        <v>159</v>
      </c>
      <c r="L230" s="615" t="s">
        <v>133</v>
      </c>
      <c r="M230" s="616">
        <v>1</v>
      </c>
      <c r="N230" s="616" t="s">
        <v>136</v>
      </c>
      <c r="O230" s="617" t="s">
        <v>148</v>
      </c>
      <c r="P230" s="372">
        <f>J230*M230</f>
        <v>3600000</v>
      </c>
      <c r="Q230" s="618" t="s">
        <v>159</v>
      </c>
    </row>
    <row r="231" spans="1:17" ht="17.45" customHeight="1">
      <c r="A231" s="365"/>
      <c r="B231" s="146"/>
      <c r="C231" s="625" t="s">
        <v>118</v>
      </c>
      <c r="D231" s="566">
        <v>0</v>
      </c>
      <c r="E231" s="489">
        <f t="shared" si="6"/>
        <v>3600</v>
      </c>
      <c r="F231" s="626"/>
      <c r="G231" s="491">
        <f t="shared" si="10"/>
        <v>3600</v>
      </c>
      <c r="H231" s="627" t="s">
        <v>183</v>
      </c>
      <c r="I231" s="623" t="s">
        <v>361</v>
      </c>
      <c r="J231" s="372">
        <v>3600000</v>
      </c>
      <c r="K231" s="614" t="s">
        <v>159</v>
      </c>
      <c r="L231" s="615" t="s">
        <v>133</v>
      </c>
      <c r="M231" s="616">
        <v>1</v>
      </c>
      <c r="N231" s="616" t="s">
        <v>136</v>
      </c>
      <c r="O231" s="617" t="s">
        <v>148</v>
      </c>
      <c r="P231" s="372">
        <f>J231*M231</f>
        <v>3600000</v>
      </c>
      <c r="Q231" s="618" t="s">
        <v>159</v>
      </c>
    </row>
    <row r="232" spans="1:17" ht="17.45" customHeight="1">
      <c r="A232" s="365"/>
      <c r="B232" s="146"/>
      <c r="C232" s="625" t="s">
        <v>119</v>
      </c>
      <c r="D232" s="566">
        <v>0</v>
      </c>
      <c r="E232" s="489">
        <f t="shared" si="6"/>
        <v>3600</v>
      </c>
      <c r="F232" s="626"/>
      <c r="G232" s="491">
        <f t="shared" si="10"/>
        <v>3600</v>
      </c>
      <c r="H232" s="627" t="s">
        <v>183</v>
      </c>
      <c r="I232" s="623" t="s">
        <v>361</v>
      </c>
      <c r="J232" s="372">
        <v>3600000</v>
      </c>
      <c r="K232" s="614" t="s">
        <v>159</v>
      </c>
      <c r="L232" s="615" t="s">
        <v>133</v>
      </c>
      <c r="M232" s="616">
        <v>1</v>
      </c>
      <c r="N232" s="616" t="s">
        <v>136</v>
      </c>
      <c r="O232" s="617" t="s">
        <v>148</v>
      </c>
      <c r="P232" s="372">
        <f>J232*M232</f>
        <v>3600000</v>
      </c>
      <c r="Q232" s="618" t="s">
        <v>159</v>
      </c>
    </row>
    <row r="233" spans="1:17" ht="17.45" customHeight="1">
      <c r="A233" s="365"/>
      <c r="B233" s="146"/>
      <c r="C233" s="625" t="s">
        <v>122</v>
      </c>
      <c r="D233" s="566">
        <v>0</v>
      </c>
      <c r="E233" s="489">
        <f t="shared" si="6"/>
        <v>3600</v>
      </c>
      <c r="F233" s="626"/>
      <c r="G233" s="491">
        <f t="shared" si="10"/>
        <v>3600</v>
      </c>
      <c r="H233" s="627" t="s">
        <v>183</v>
      </c>
      <c r="I233" s="623" t="s">
        <v>361</v>
      </c>
      <c r="J233" s="372">
        <v>3600000</v>
      </c>
      <c r="K233" s="614" t="s">
        <v>159</v>
      </c>
      <c r="L233" s="615" t="s">
        <v>133</v>
      </c>
      <c r="M233" s="616">
        <v>1</v>
      </c>
      <c r="N233" s="616" t="s">
        <v>136</v>
      </c>
      <c r="O233" s="617" t="s">
        <v>148</v>
      </c>
      <c r="P233" s="372">
        <f>J233*M233</f>
        <v>3600000</v>
      </c>
      <c r="Q233" s="618" t="s">
        <v>159</v>
      </c>
    </row>
    <row r="234" spans="1:17" ht="17.45" customHeight="1">
      <c r="A234" s="365"/>
      <c r="B234" s="146"/>
      <c r="C234" s="628" t="s">
        <v>304</v>
      </c>
      <c r="D234" s="565">
        <v>1800</v>
      </c>
      <c r="E234" s="489">
        <f t="shared" si="6"/>
        <v>1800</v>
      </c>
      <c r="F234" s="626"/>
      <c r="G234" s="491">
        <f t="shared" si="10"/>
        <v>0</v>
      </c>
      <c r="H234" s="492">
        <f>+G234/D234*100</f>
        <v>0</v>
      </c>
      <c r="I234" s="607" t="s">
        <v>361</v>
      </c>
      <c r="J234" s="372">
        <v>1800000</v>
      </c>
      <c r="K234" s="614" t="s">
        <v>159</v>
      </c>
      <c r="L234" s="615" t="s">
        <v>133</v>
      </c>
      <c r="M234" s="616">
        <v>1</v>
      </c>
      <c r="N234" s="616" t="s">
        <v>136</v>
      </c>
      <c r="O234" s="617" t="s">
        <v>148</v>
      </c>
      <c r="P234" s="372">
        <f t="shared" si="9"/>
        <v>1800000</v>
      </c>
      <c r="Q234" s="618" t="s">
        <v>159</v>
      </c>
    </row>
    <row r="235" spans="1:17" ht="17.45" customHeight="1">
      <c r="A235" s="365"/>
      <c r="B235" s="146"/>
      <c r="C235" s="628" t="s">
        <v>277</v>
      </c>
      <c r="D235" s="565">
        <v>2400</v>
      </c>
      <c r="E235" s="489">
        <f t="shared" si="6"/>
        <v>12400</v>
      </c>
      <c r="F235" s="626"/>
      <c r="G235" s="491">
        <f t="shared" si="10"/>
        <v>10000</v>
      </c>
      <c r="H235" s="492">
        <f>+G235/D235*100</f>
        <v>416.66666666666669</v>
      </c>
      <c r="I235" s="607" t="s">
        <v>470</v>
      </c>
      <c r="J235" s="372">
        <v>6200000</v>
      </c>
      <c r="K235" s="614" t="s">
        <v>159</v>
      </c>
      <c r="L235" s="615" t="s">
        <v>133</v>
      </c>
      <c r="M235" s="616">
        <v>2</v>
      </c>
      <c r="N235" s="616" t="s">
        <v>136</v>
      </c>
      <c r="O235" s="617" t="s">
        <v>148</v>
      </c>
      <c r="P235" s="372">
        <f t="shared" si="9"/>
        <v>12400000</v>
      </c>
      <c r="Q235" s="618" t="s">
        <v>159</v>
      </c>
    </row>
    <row r="236" spans="1:17" ht="17.45" customHeight="1">
      <c r="A236" s="365"/>
      <c r="B236" s="146"/>
      <c r="C236" s="22" t="s">
        <v>252</v>
      </c>
      <c r="D236" s="489">
        <v>3300</v>
      </c>
      <c r="E236" s="489">
        <f t="shared" si="6"/>
        <v>3300</v>
      </c>
      <c r="F236" s="606"/>
      <c r="G236" s="491">
        <f t="shared" si="10"/>
        <v>0</v>
      </c>
      <c r="H236" s="492">
        <f>G236/D236*100</f>
        <v>0</v>
      </c>
      <c r="I236" s="607" t="s">
        <v>361</v>
      </c>
      <c r="J236" s="372">
        <v>3300000</v>
      </c>
      <c r="K236" s="614" t="s">
        <v>159</v>
      </c>
      <c r="L236" s="615" t="s">
        <v>133</v>
      </c>
      <c r="M236" s="616">
        <v>1</v>
      </c>
      <c r="N236" s="616" t="s">
        <v>136</v>
      </c>
      <c r="O236" s="617" t="s">
        <v>148</v>
      </c>
      <c r="P236" s="372">
        <f t="shared" si="9"/>
        <v>3300000</v>
      </c>
      <c r="Q236" s="618" t="s">
        <v>159</v>
      </c>
    </row>
    <row r="237" spans="1:17" ht="17.45" customHeight="1">
      <c r="A237" s="514"/>
      <c r="B237" s="242"/>
      <c r="C237" s="23" t="s">
        <v>312</v>
      </c>
      <c r="D237" s="595">
        <v>1800</v>
      </c>
      <c r="E237" s="620">
        <f t="shared" si="6"/>
        <v>1800</v>
      </c>
      <c r="F237" s="595" t="e">
        <f>Q237/1000</f>
        <v>#VALUE!</v>
      </c>
      <c r="G237" s="519">
        <f t="shared" si="10"/>
        <v>0</v>
      </c>
      <c r="H237" s="520">
        <f>G237/D237*100</f>
        <v>0</v>
      </c>
      <c r="I237" s="607" t="s">
        <v>361</v>
      </c>
      <c r="J237" s="372">
        <v>1800000</v>
      </c>
      <c r="K237" s="614" t="s">
        <v>159</v>
      </c>
      <c r="L237" s="615" t="s">
        <v>133</v>
      </c>
      <c r="M237" s="616">
        <v>1</v>
      </c>
      <c r="N237" s="616" t="s">
        <v>136</v>
      </c>
      <c r="O237" s="617" t="s">
        <v>148</v>
      </c>
      <c r="P237" s="372">
        <f t="shared" si="9"/>
        <v>1800000</v>
      </c>
      <c r="Q237" s="618" t="s">
        <v>159</v>
      </c>
    </row>
    <row r="238" spans="1:17" ht="17.45" customHeight="1">
      <c r="A238" s="365"/>
      <c r="B238" s="146"/>
      <c r="C238" s="628" t="s">
        <v>256</v>
      </c>
      <c r="D238" s="565">
        <v>2700</v>
      </c>
      <c r="E238" s="489">
        <f t="shared" si="6"/>
        <v>12700</v>
      </c>
      <c r="F238" s="565"/>
      <c r="G238" s="491">
        <f t="shared" si="10"/>
        <v>10000</v>
      </c>
      <c r="H238" s="492">
        <f>G238/D238*100</f>
        <v>370.37037037037038</v>
      </c>
      <c r="I238" s="607" t="s">
        <v>470</v>
      </c>
      <c r="J238" s="372">
        <v>6350000</v>
      </c>
      <c r="K238" s="614" t="s">
        <v>159</v>
      </c>
      <c r="L238" s="615" t="s">
        <v>133</v>
      </c>
      <c r="M238" s="616">
        <v>2</v>
      </c>
      <c r="N238" s="616" t="s">
        <v>136</v>
      </c>
      <c r="O238" s="617" t="s">
        <v>148</v>
      </c>
      <c r="P238" s="372">
        <f t="shared" si="9"/>
        <v>12700000</v>
      </c>
      <c r="Q238" s="618" t="s">
        <v>159</v>
      </c>
    </row>
    <row r="239" spans="1:17" ht="17.45" customHeight="1">
      <c r="A239" s="591"/>
      <c r="B239" s="592"/>
      <c r="C239" s="613" t="s">
        <v>22</v>
      </c>
      <c r="D239" s="565">
        <v>2100</v>
      </c>
      <c r="E239" s="489">
        <f t="shared" ref="E239:E246" si="11">P239/1000</f>
        <v>2100</v>
      </c>
      <c r="F239" s="606"/>
      <c r="G239" s="491">
        <f t="shared" ref="G239:G246" si="12">+E239-D239</f>
        <v>0</v>
      </c>
      <c r="H239" s="492">
        <f>G239/D239*100</f>
        <v>0</v>
      </c>
      <c r="I239" s="607" t="s">
        <v>361</v>
      </c>
      <c r="J239" s="372">
        <v>2100000</v>
      </c>
      <c r="K239" s="614" t="s">
        <v>159</v>
      </c>
      <c r="L239" s="615" t="s">
        <v>133</v>
      </c>
      <c r="M239" s="616">
        <v>1</v>
      </c>
      <c r="N239" s="616" t="s">
        <v>136</v>
      </c>
      <c r="O239" s="617" t="s">
        <v>148</v>
      </c>
      <c r="P239" s="372">
        <f t="shared" si="9"/>
        <v>2100000</v>
      </c>
      <c r="Q239" s="618" t="s">
        <v>159</v>
      </c>
    </row>
    <row r="240" spans="1:17" ht="17.45" customHeight="1">
      <c r="A240" s="365"/>
      <c r="B240" s="146"/>
      <c r="C240" s="23" t="s">
        <v>303</v>
      </c>
      <c r="D240" s="565">
        <v>1200</v>
      </c>
      <c r="E240" s="620">
        <f t="shared" si="11"/>
        <v>1200</v>
      </c>
      <c r="F240" s="629"/>
      <c r="G240" s="519">
        <f t="shared" si="12"/>
        <v>0</v>
      </c>
      <c r="H240" s="520">
        <f>+G240/D240*100</f>
        <v>0</v>
      </c>
      <c r="I240" s="607" t="s">
        <v>361</v>
      </c>
      <c r="J240" s="372">
        <v>1200000</v>
      </c>
      <c r="K240" s="614" t="s">
        <v>159</v>
      </c>
      <c r="L240" s="615" t="s">
        <v>133</v>
      </c>
      <c r="M240" s="616">
        <v>1</v>
      </c>
      <c r="N240" s="616" t="s">
        <v>136</v>
      </c>
      <c r="O240" s="617" t="s">
        <v>148</v>
      </c>
      <c r="P240" s="372">
        <f t="shared" si="9"/>
        <v>1200000</v>
      </c>
      <c r="Q240" s="618" t="s">
        <v>159</v>
      </c>
    </row>
    <row r="241" spans="1:17" ht="17.45" customHeight="1">
      <c r="A241" s="365"/>
      <c r="B241" s="146"/>
      <c r="C241" s="625" t="s">
        <v>24</v>
      </c>
      <c r="D241" s="565">
        <v>3000</v>
      </c>
      <c r="E241" s="489">
        <f t="shared" si="11"/>
        <v>11003.7</v>
      </c>
      <c r="F241" s="626"/>
      <c r="G241" s="491">
        <f t="shared" si="12"/>
        <v>8003.7000000000007</v>
      </c>
      <c r="H241" s="520">
        <f>+G241/D241*100</f>
        <v>266.79000000000002</v>
      </c>
      <c r="I241" s="607" t="s">
        <v>470</v>
      </c>
      <c r="J241" s="372">
        <v>5501850</v>
      </c>
      <c r="K241" s="614" t="s">
        <v>159</v>
      </c>
      <c r="L241" s="615" t="s">
        <v>133</v>
      </c>
      <c r="M241" s="616">
        <v>2</v>
      </c>
      <c r="N241" s="616" t="s">
        <v>136</v>
      </c>
      <c r="O241" s="617" t="s">
        <v>148</v>
      </c>
      <c r="P241" s="372">
        <f t="shared" si="9"/>
        <v>11003700</v>
      </c>
      <c r="Q241" s="618" t="s">
        <v>159</v>
      </c>
    </row>
    <row r="242" spans="1:17" ht="17.45" customHeight="1">
      <c r="A242" s="365"/>
      <c r="B242" s="146"/>
      <c r="C242" s="628" t="s">
        <v>206</v>
      </c>
      <c r="D242" s="565">
        <v>3000</v>
      </c>
      <c r="E242" s="489">
        <f t="shared" si="11"/>
        <v>3000</v>
      </c>
      <c r="F242" s="606"/>
      <c r="G242" s="491">
        <f t="shared" si="12"/>
        <v>0</v>
      </c>
      <c r="H242" s="520">
        <f>+G242/D242*100</f>
        <v>0</v>
      </c>
      <c r="I242" s="607" t="s">
        <v>361</v>
      </c>
      <c r="J242" s="372">
        <v>3000000</v>
      </c>
      <c r="K242" s="614" t="s">
        <v>159</v>
      </c>
      <c r="L242" s="615" t="s">
        <v>133</v>
      </c>
      <c r="M242" s="616">
        <v>1</v>
      </c>
      <c r="N242" s="616" t="s">
        <v>136</v>
      </c>
      <c r="O242" s="617" t="s">
        <v>148</v>
      </c>
      <c r="P242" s="372">
        <f t="shared" si="9"/>
        <v>3000000</v>
      </c>
      <c r="Q242" s="618" t="s">
        <v>159</v>
      </c>
    </row>
    <row r="243" spans="1:17" ht="17.45" customHeight="1">
      <c r="A243" s="365"/>
      <c r="B243" s="146"/>
      <c r="C243" s="628" t="s">
        <v>237</v>
      </c>
      <c r="D243" s="565">
        <v>1800</v>
      </c>
      <c r="E243" s="489">
        <f t="shared" si="11"/>
        <v>1800</v>
      </c>
      <c r="F243" s="626"/>
      <c r="G243" s="491">
        <f t="shared" si="12"/>
        <v>0</v>
      </c>
      <c r="H243" s="520">
        <f>+G243/D243*100</f>
        <v>0</v>
      </c>
      <c r="I243" s="607" t="s">
        <v>361</v>
      </c>
      <c r="J243" s="372">
        <v>1800000</v>
      </c>
      <c r="K243" s="614" t="s">
        <v>159</v>
      </c>
      <c r="L243" s="615" t="s">
        <v>133</v>
      </c>
      <c r="M243" s="616">
        <v>1</v>
      </c>
      <c r="N243" s="616" t="s">
        <v>136</v>
      </c>
      <c r="O243" s="617" t="s">
        <v>148</v>
      </c>
      <c r="P243" s="372">
        <f t="shared" si="9"/>
        <v>1800000</v>
      </c>
      <c r="Q243" s="618" t="s">
        <v>159</v>
      </c>
    </row>
    <row r="244" spans="1:17" ht="17.45" customHeight="1">
      <c r="A244" s="365"/>
      <c r="B244" s="146"/>
      <c r="C244" s="628" t="s">
        <v>286</v>
      </c>
      <c r="D244" s="565">
        <v>1500</v>
      </c>
      <c r="E244" s="489">
        <f t="shared" si="11"/>
        <v>1500</v>
      </c>
      <c r="F244" s="626"/>
      <c r="G244" s="491">
        <f t="shared" si="12"/>
        <v>0</v>
      </c>
      <c r="H244" s="492">
        <f>G244/D244*100</f>
        <v>0</v>
      </c>
      <c r="I244" s="607" t="s">
        <v>361</v>
      </c>
      <c r="J244" s="372">
        <v>1500000</v>
      </c>
      <c r="K244" s="614" t="s">
        <v>159</v>
      </c>
      <c r="L244" s="615" t="s">
        <v>133</v>
      </c>
      <c r="M244" s="616">
        <v>1</v>
      </c>
      <c r="N244" s="616" t="s">
        <v>136</v>
      </c>
      <c r="O244" s="617" t="s">
        <v>148</v>
      </c>
      <c r="P244" s="372">
        <f t="shared" si="9"/>
        <v>1500000</v>
      </c>
      <c r="Q244" s="618" t="s">
        <v>159</v>
      </c>
    </row>
    <row r="245" spans="1:17" ht="17.45" customHeight="1">
      <c r="A245" s="365"/>
      <c r="B245" s="146"/>
      <c r="C245" s="22" t="s">
        <v>300</v>
      </c>
      <c r="D245" s="565">
        <v>1800</v>
      </c>
      <c r="E245" s="489">
        <f t="shared" si="11"/>
        <v>1800</v>
      </c>
      <c r="F245" s="606"/>
      <c r="G245" s="491">
        <f t="shared" si="12"/>
        <v>0</v>
      </c>
      <c r="H245" s="492">
        <f>G245/D245*100</f>
        <v>0</v>
      </c>
      <c r="I245" s="623" t="s">
        <v>361</v>
      </c>
      <c r="J245" s="372">
        <v>1800000</v>
      </c>
      <c r="K245" s="614" t="s">
        <v>159</v>
      </c>
      <c r="L245" s="615" t="s">
        <v>133</v>
      </c>
      <c r="M245" s="616">
        <v>1</v>
      </c>
      <c r="N245" s="616" t="s">
        <v>136</v>
      </c>
      <c r="O245" s="617" t="s">
        <v>148</v>
      </c>
      <c r="P245" s="372">
        <f t="shared" si="9"/>
        <v>1800000</v>
      </c>
      <c r="Q245" s="618" t="s">
        <v>159</v>
      </c>
    </row>
    <row r="246" spans="1:17" ht="17.45" customHeight="1">
      <c r="A246" s="365"/>
      <c r="B246" s="146"/>
      <c r="C246" s="624" t="s">
        <v>18</v>
      </c>
      <c r="D246" s="565">
        <v>3600</v>
      </c>
      <c r="E246" s="489">
        <f t="shared" si="11"/>
        <v>3600</v>
      </c>
      <c r="F246" s="621"/>
      <c r="G246" s="491">
        <f t="shared" si="12"/>
        <v>0</v>
      </c>
      <c r="H246" s="492">
        <f>G246/D246*100</f>
        <v>0</v>
      </c>
      <c r="I246" s="607" t="s">
        <v>361</v>
      </c>
      <c r="J246" s="372">
        <v>3600000</v>
      </c>
      <c r="K246" s="614" t="s">
        <v>159</v>
      </c>
      <c r="L246" s="615" t="s">
        <v>133</v>
      </c>
      <c r="M246" s="616">
        <v>1</v>
      </c>
      <c r="N246" s="616" t="s">
        <v>136</v>
      </c>
      <c r="O246" s="617" t="s">
        <v>148</v>
      </c>
      <c r="P246" s="372">
        <f t="shared" si="9"/>
        <v>3600000</v>
      </c>
      <c r="Q246" s="618" t="s">
        <v>159</v>
      </c>
    </row>
    <row r="247" spans="1:17" ht="17.45" customHeight="1">
      <c r="A247" s="365"/>
      <c r="B247" s="146"/>
      <c r="C247" s="22" t="s">
        <v>210</v>
      </c>
      <c r="D247" s="489">
        <v>5000</v>
      </c>
      <c r="E247" s="489">
        <f t="shared" ref="E247:E258" si="13">P247/1000</f>
        <v>0</v>
      </c>
      <c r="F247" s="606"/>
      <c r="G247" s="491">
        <f t="shared" ref="G247:G259" si="14">+E247-D247</f>
        <v>-5000</v>
      </c>
      <c r="H247" s="492">
        <f t="shared" ref="H247:H258" si="15">+G247/D247*100</f>
        <v>-100</v>
      </c>
      <c r="I247" s="607" t="s">
        <v>326</v>
      </c>
      <c r="J247" s="372">
        <v>0</v>
      </c>
      <c r="K247" s="614" t="s">
        <v>159</v>
      </c>
      <c r="L247" s="615" t="s">
        <v>133</v>
      </c>
      <c r="M247" s="616">
        <v>1</v>
      </c>
      <c r="N247" s="616" t="s">
        <v>136</v>
      </c>
      <c r="O247" s="617" t="s">
        <v>148</v>
      </c>
      <c r="P247" s="372">
        <f t="shared" si="9"/>
        <v>0</v>
      </c>
      <c r="Q247" s="618" t="s">
        <v>159</v>
      </c>
    </row>
    <row r="248" spans="1:17" ht="17.45" customHeight="1">
      <c r="A248" s="365"/>
      <c r="B248" s="146"/>
      <c r="C248" s="613" t="s">
        <v>68</v>
      </c>
      <c r="D248" s="489">
        <v>5000</v>
      </c>
      <c r="E248" s="489">
        <f t="shared" si="13"/>
        <v>5000</v>
      </c>
      <c r="F248" s="606"/>
      <c r="G248" s="491">
        <f t="shared" si="14"/>
        <v>0</v>
      </c>
      <c r="H248" s="492">
        <f t="shared" si="15"/>
        <v>0</v>
      </c>
      <c r="I248" s="607" t="s">
        <v>361</v>
      </c>
      <c r="J248" s="372">
        <v>5000000</v>
      </c>
      <c r="K248" s="614" t="s">
        <v>159</v>
      </c>
      <c r="L248" s="615" t="s">
        <v>133</v>
      </c>
      <c r="M248" s="616">
        <v>1</v>
      </c>
      <c r="N248" s="616" t="s">
        <v>136</v>
      </c>
      <c r="O248" s="617" t="s">
        <v>148</v>
      </c>
      <c r="P248" s="372">
        <f t="shared" si="9"/>
        <v>5000000</v>
      </c>
      <c r="Q248" s="618" t="s">
        <v>159</v>
      </c>
    </row>
    <row r="249" spans="1:17" ht="17.45" customHeight="1">
      <c r="A249" s="365"/>
      <c r="B249" s="146"/>
      <c r="C249" s="22" t="s">
        <v>257</v>
      </c>
      <c r="D249" s="489">
        <v>5000</v>
      </c>
      <c r="E249" s="489">
        <f t="shared" si="13"/>
        <v>0</v>
      </c>
      <c r="F249" s="606"/>
      <c r="G249" s="491">
        <f t="shared" si="14"/>
        <v>-5000</v>
      </c>
      <c r="H249" s="492">
        <f t="shared" si="15"/>
        <v>-100</v>
      </c>
      <c r="I249" s="607" t="s">
        <v>195</v>
      </c>
      <c r="J249" s="372">
        <v>0</v>
      </c>
      <c r="K249" s="614" t="s">
        <v>159</v>
      </c>
      <c r="L249" s="615" t="s">
        <v>133</v>
      </c>
      <c r="M249" s="616">
        <v>1</v>
      </c>
      <c r="N249" s="616" t="s">
        <v>136</v>
      </c>
      <c r="O249" s="617" t="s">
        <v>148</v>
      </c>
      <c r="P249" s="372">
        <f t="shared" si="9"/>
        <v>0</v>
      </c>
      <c r="Q249" s="618" t="s">
        <v>159</v>
      </c>
    </row>
    <row r="250" spans="1:17" ht="17.45" customHeight="1">
      <c r="A250" s="514" t="s">
        <v>140</v>
      </c>
      <c r="B250" s="242" t="s">
        <v>140</v>
      </c>
      <c r="C250" s="22" t="s">
        <v>356</v>
      </c>
      <c r="D250" s="489">
        <v>2400</v>
      </c>
      <c r="E250" s="489">
        <f t="shared" si="13"/>
        <v>2400</v>
      </c>
      <c r="F250" s="606"/>
      <c r="G250" s="491">
        <f t="shared" si="14"/>
        <v>0</v>
      </c>
      <c r="H250" s="492">
        <f t="shared" si="15"/>
        <v>0</v>
      </c>
      <c r="I250" s="607" t="s">
        <v>361</v>
      </c>
      <c r="J250" s="372">
        <v>2400000</v>
      </c>
      <c r="K250" s="614" t="s">
        <v>159</v>
      </c>
      <c r="L250" s="615" t="s">
        <v>133</v>
      </c>
      <c r="M250" s="616">
        <v>1</v>
      </c>
      <c r="N250" s="616" t="s">
        <v>136</v>
      </c>
      <c r="O250" s="617" t="s">
        <v>148</v>
      </c>
      <c r="P250" s="372">
        <f t="shared" si="9"/>
        <v>2400000</v>
      </c>
      <c r="Q250" s="618" t="s">
        <v>159</v>
      </c>
    </row>
    <row r="251" spans="1:17" ht="17.45" customHeight="1">
      <c r="A251" s="514"/>
      <c r="B251" s="242"/>
      <c r="C251" s="630" t="s">
        <v>52</v>
      </c>
      <c r="D251" s="620">
        <v>96074.999930000005</v>
      </c>
      <c r="E251" s="620">
        <f t="shared" si="13"/>
        <v>91509.999960000016</v>
      </c>
      <c r="F251" s="621"/>
      <c r="G251" s="519">
        <f t="shared" si="14"/>
        <v>-4564.9999699999898</v>
      </c>
      <c r="H251" s="520">
        <f t="shared" si="15"/>
        <v>-4.751496199142375</v>
      </c>
      <c r="I251" s="607" t="s">
        <v>361</v>
      </c>
      <c r="J251" s="372">
        <v>7625833.3300000001</v>
      </c>
      <c r="K251" s="614" t="s">
        <v>159</v>
      </c>
      <c r="L251" s="615" t="s">
        <v>133</v>
      </c>
      <c r="M251" s="616">
        <v>12</v>
      </c>
      <c r="N251" s="616" t="s">
        <v>136</v>
      </c>
      <c r="O251" s="617" t="s">
        <v>148</v>
      </c>
      <c r="P251" s="372">
        <v>91509999.960000008</v>
      </c>
      <c r="Q251" s="618" t="s">
        <v>159</v>
      </c>
    </row>
    <row r="252" spans="1:17" ht="17.45" customHeight="1">
      <c r="A252" s="514"/>
      <c r="B252" s="242"/>
      <c r="C252" s="619" t="s">
        <v>217</v>
      </c>
      <c r="D252" s="620">
        <v>3300</v>
      </c>
      <c r="E252" s="620">
        <f t="shared" si="13"/>
        <v>0</v>
      </c>
      <c r="F252" s="621"/>
      <c r="G252" s="519">
        <f t="shared" si="14"/>
        <v>-3300</v>
      </c>
      <c r="H252" s="520">
        <f t="shared" si="15"/>
        <v>-100</v>
      </c>
      <c r="I252" s="607" t="s">
        <v>326</v>
      </c>
      <c r="J252" s="372">
        <v>0</v>
      </c>
      <c r="K252" s="614" t="s">
        <v>159</v>
      </c>
      <c r="L252" s="615" t="s">
        <v>133</v>
      </c>
      <c r="M252" s="616">
        <v>1</v>
      </c>
      <c r="N252" s="616" t="s">
        <v>136</v>
      </c>
      <c r="O252" s="617" t="s">
        <v>148</v>
      </c>
      <c r="P252" s="372">
        <f t="shared" si="9"/>
        <v>0</v>
      </c>
      <c r="Q252" s="618" t="s">
        <v>159</v>
      </c>
    </row>
    <row r="253" spans="1:17" ht="17.45" customHeight="1">
      <c r="A253" s="514"/>
      <c r="B253" s="242"/>
      <c r="C253" s="631" t="s">
        <v>57</v>
      </c>
      <c r="D253" s="620">
        <v>3000</v>
      </c>
      <c r="E253" s="620">
        <f t="shared" si="13"/>
        <v>3000</v>
      </c>
      <c r="F253" s="621"/>
      <c r="G253" s="519">
        <f t="shared" si="14"/>
        <v>0</v>
      </c>
      <c r="H253" s="520">
        <f t="shared" si="15"/>
        <v>0</v>
      </c>
      <c r="I253" s="607" t="s">
        <v>361</v>
      </c>
      <c r="J253" s="372">
        <v>3000000</v>
      </c>
      <c r="K253" s="614" t="s">
        <v>159</v>
      </c>
      <c r="L253" s="615" t="s">
        <v>133</v>
      </c>
      <c r="M253" s="616">
        <v>1</v>
      </c>
      <c r="N253" s="616" t="s">
        <v>136</v>
      </c>
      <c r="O253" s="617" t="s">
        <v>148</v>
      </c>
      <c r="P253" s="372">
        <f t="shared" si="9"/>
        <v>3000000</v>
      </c>
      <c r="Q253" s="618" t="s">
        <v>159</v>
      </c>
    </row>
    <row r="254" spans="1:17" ht="17.45" customHeight="1">
      <c r="A254" s="365"/>
      <c r="B254" s="146"/>
      <c r="C254" s="613" t="s">
        <v>38</v>
      </c>
      <c r="D254" s="489">
        <v>3000</v>
      </c>
      <c r="E254" s="489">
        <f t="shared" si="13"/>
        <v>3000</v>
      </c>
      <c r="F254" s="606"/>
      <c r="G254" s="491">
        <f t="shared" si="14"/>
        <v>0</v>
      </c>
      <c r="H254" s="492">
        <f t="shared" si="15"/>
        <v>0</v>
      </c>
      <c r="I254" s="607" t="s">
        <v>361</v>
      </c>
      <c r="J254" s="372">
        <v>3000000</v>
      </c>
      <c r="K254" s="614" t="s">
        <v>159</v>
      </c>
      <c r="L254" s="615" t="s">
        <v>133</v>
      </c>
      <c r="M254" s="616">
        <v>1</v>
      </c>
      <c r="N254" s="616" t="s">
        <v>136</v>
      </c>
      <c r="O254" s="617" t="s">
        <v>148</v>
      </c>
      <c r="P254" s="372">
        <f t="shared" si="9"/>
        <v>3000000</v>
      </c>
      <c r="Q254" s="618" t="s">
        <v>159</v>
      </c>
    </row>
    <row r="255" spans="1:17" ht="17.45" customHeight="1">
      <c r="A255" s="365"/>
      <c r="B255" s="146"/>
      <c r="C255" s="619" t="s">
        <v>249</v>
      </c>
      <c r="D255" s="620">
        <v>3600</v>
      </c>
      <c r="E255" s="620">
        <f t="shared" si="13"/>
        <v>3600</v>
      </c>
      <c r="F255" s="621"/>
      <c r="G255" s="519">
        <f t="shared" si="14"/>
        <v>0</v>
      </c>
      <c r="H255" s="520">
        <f t="shared" si="15"/>
        <v>0</v>
      </c>
      <c r="I255" s="607" t="s">
        <v>361</v>
      </c>
      <c r="J255" s="372">
        <v>3600000</v>
      </c>
      <c r="K255" s="614" t="s">
        <v>159</v>
      </c>
      <c r="L255" s="615" t="s">
        <v>133</v>
      </c>
      <c r="M255" s="616">
        <v>1</v>
      </c>
      <c r="N255" s="616" t="s">
        <v>136</v>
      </c>
      <c r="O255" s="617" t="s">
        <v>148</v>
      </c>
      <c r="P255" s="372">
        <f t="shared" si="9"/>
        <v>3600000</v>
      </c>
      <c r="Q255" s="618" t="s">
        <v>159</v>
      </c>
    </row>
    <row r="256" spans="1:17" ht="17.45" customHeight="1">
      <c r="A256" s="365"/>
      <c r="B256" s="146"/>
      <c r="C256" s="613" t="s">
        <v>448</v>
      </c>
      <c r="D256" s="489">
        <v>3000</v>
      </c>
      <c r="E256" s="489">
        <f t="shared" si="13"/>
        <v>3000</v>
      </c>
      <c r="F256" s="606"/>
      <c r="G256" s="491">
        <f t="shared" si="14"/>
        <v>0</v>
      </c>
      <c r="H256" s="492">
        <f t="shared" si="15"/>
        <v>0</v>
      </c>
      <c r="I256" s="607" t="s">
        <v>361</v>
      </c>
      <c r="J256" s="372">
        <v>3000000</v>
      </c>
      <c r="K256" s="614" t="s">
        <v>159</v>
      </c>
      <c r="L256" s="615" t="s">
        <v>133</v>
      </c>
      <c r="M256" s="616">
        <v>1</v>
      </c>
      <c r="N256" s="616" t="s">
        <v>136</v>
      </c>
      <c r="O256" s="617" t="s">
        <v>148</v>
      </c>
      <c r="P256" s="372">
        <f t="shared" si="9"/>
        <v>3000000</v>
      </c>
      <c r="Q256" s="618" t="s">
        <v>159</v>
      </c>
    </row>
    <row r="257" spans="1:17" ht="17.45" customHeight="1">
      <c r="A257" s="365"/>
      <c r="B257" s="146"/>
      <c r="C257" s="613" t="s">
        <v>9</v>
      </c>
      <c r="D257" s="489">
        <v>11499.4</v>
      </c>
      <c r="E257" s="489">
        <f t="shared" si="13"/>
        <v>15000</v>
      </c>
      <c r="F257" s="606"/>
      <c r="G257" s="491">
        <f t="shared" si="14"/>
        <v>3500.6000000000004</v>
      </c>
      <c r="H257" s="492">
        <f t="shared" si="15"/>
        <v>30.441588256778619</v>
      </c>
      <c r="I257" s="607" t="s">
        <v>470</v>
      </c>
      <c r="J257" s="372">
        <v>7500000</v>
      </c>
      <c r="K257" s="614" t="s">
        <v>159</v>
      </c>
      <c r="L257" s="615" t="s">
        <v>133</v>
      </c>
      <c r="M257" s="616">
        <v>2</v>
      </c>
      <c r="N257" s="616" t="s">
        <v>136</v>
      </c>
      <c r="O257" s="617" t="s">
        <v>148</v>
      </c>
      <c r="P257" s="372">
        <f t="shared" si="9"/>
        <v>15000000</v>
      </c>
      <c r="Q257" s="618" t="s">
        <v>159</v>
      </c>
    </row>
    <row r="258" spans="1:17" ht="17.45" customHeight="1">
      <c r="A258" s="514"/>
      <c r="B258" s="242"/>
      <c r="C258" s="619" t="s">
        <v>242</v>
      </c>
      <c r="D258" s="620">
        <v>2700</v>
      </c>
      <c r="E258" s="620">
        <f t="shared" si="13"/>
        <v>2700</v>
      </c>
      <c r="F258" s="621"/>
      <c r="G258" s="519">
        <f t="shared" si="14"/>
        <v>0</v>
      </c>
      <c r="H258" s="520">
        <f t="shared" si="15"/>
        <v>0</v>
      </c>
      <c r="I258" s="607" t="s">
        <v>361</v>
      </c>
      <c r="J258" s="372">
        <v>2700000</v>
      </c>
      <c r="K258" s="614" t="s">
        <v>159</v>
      </c>
      <c r="L258" s="615" t="s">
        <v>133</v>
      </c>
      <c r="M258" s="616">
        <v>1</v>
      </c>
      <c r="N258" s="616" t="s">
        <v>136</v>
      </c>
      <c r="O258" s="617" t="s">
        <v>148</v>
      </c>
      <c r="P258" s="372">
        <f t="shared" si="9"/>
        <v>2700000</v>
      </c>
      <c r="Q258" s="618" t="s">
        <v>159</v>
      </c>
    </row>
    <row r="259" spans="1:17" ht="17.45" customHeight="1">
      <c r="A259" s="514"/>
      <c r="B259" s="242"/>
      <c r="C259" s="22" t="s">
        <v>223</v>
      </c>
      <c r="D259" s="489">
        <v>2400</v>
      </c>
      <c r="E259" s="489">
        <f t="shared" ref="E259:E274" si="16">P259/1000</f>
        <v>2400</v>
      </c>
      <c r="F259" s="606"/>
      <c r="G259" s="491">
        <f t="shared" si="14"/>
        <v>0</v>
      </c>
      <c r="H259" s="492">
        <f t="shared" ref="H259:H267" si="17">+G259/D259*100</f>
        <v>0</v>
      </c>
      <c r="I259" s="607" t="s">
        <v>361</v>
      </c>
      <c r="J259" s="372">
        <v>2400000</v>
      </c>
      <c r="K259" s="614" t="s">
        <v>159</v>
      </c>
      <c r="L259" s="615" t="s">
        <v>133</v>
      </c>
      <c r="M259" s="616">
        <v>1</v>
      </c>
      <c r="N259" s="616" t="s">
        <v>136</v>
      </c>
      <c r="O259" s="617" t="s">
        <v>148</v>
      </c>
      <c r="P259" s="372">
        <f t="shared" si="9"/>
        <v>2400000</v>
      </c>
      <c r="Q259" s="618" t="s">
        <v>159</v>
      </c>
    </row>
    <row r="260" spans="1:17" ht="17.45" customHeight="1">
      <c r="A260" s="365"/>
      <c r="B260" s="146"/>
      <c r="C260" s="628" t="s">
        <v>351</v>
      </c>
      <c r="D260" s="565">
        <v>14512</v>
      </c>
      <c r="E260" s="489">
        <f>P260/1000</f>
        <v>4800</v>
      </c>
      <c r="F260" s="626"/>
      <c r="G260" s="491">
        <f>+E260-D260</f>
        <v>-9712</v>
      </c>
      <c r="H260" s="492">
        <f>+G260/D260*100</f>
        <v>-66.923925027563385</v>
      </c>
      <c r="I260" s="607" t="s">
        <v>361</v>
      </c>
      <c r="J260" s="372">
        <v>4800000</v>
      </c>
      <c r="K260" s="614" t="s">
        <v>159</v>
      </c>
      <c r="L260" s="615" t="s">
        <v>133</v>
      </c>
      <c r="M260" s="616">
        <v>1</v>
      </c>
      <c r="N260" s="616" t="s">
        <v>136</v>
      </c>
      <c r="O260" s="617" t="s">
        <v>148</v>
      </c>
      <c r="P260" s="372">
        <f>J260*M260</f>
        <v>4800000</v>
      </c>
      <c r="Q260" s="618" t="s">
        <v>159</v>
      </c>
    </row>
    <row r="261" spans="1:17" ht="17.45" customHeight="1">
      <c r="A261" s="514"/>
      <c r="B261" s="242"/>
      <c r="C261" s="625" t="s">
        <v>98</v>
      </c>
      <c r="D261" s="565">
        <v>6000</v>
      </c>
      <c r="E261" s="489">
        <f>P261/1000</f>
        <v>15000</v>
      </c>
      <c r="F261" s="626"/>
      <c r="G261" s="491">
        <f>+E261-D261</f>
        <v>9000</v>
      </c>
      <c r="H261" s="492">
        <f t="shared" si="17"/>
        <v>150</v>
      </c>
      <c r="I261" s="607" t="s">
        <v>470</v>
      </c>
      <c r="J261" s="372">
        <v>1250000</v>
      </c>
      <c r="K261" s="614" t="s">
        <v>159</v>
      </c>
      <c r="L261" s="615" t="s">
        <v>133</v>
      </c>
      <c r="M261" s="616">
        <v>12</v>
      </c>
      <c r="N261" s="616" t="s">
        <v>136</v>
      </c>
      <c r="O261" s="617" t="s">
        <v>148</v>
      </c>
      <c r="P261" s="372">
        <f>J261*M261</f>
        <v>15000000</v>
      </c>
      <c r="Q261" s="618" t="s">
        <v>159</v>
      </c>
    </row>
    <row r="262" spans="1:17" ht="17.45" customHeight="1">
      <c r="A262" s="365"/>
      <c r="B262" s="146"/>
      <c r="C262" s="625" t="s">
        <v>84</v>
      </c>
      <c r="D262" s="565">
        <v>600</v>
      </c>
      <c r="E262" s="489">
        <f t="shared" si="16"/>
        <v>600</v>
      </c>
      <c r="F262" s="626"/>
      <c r="G262" s="491">
        <f t="shared" ref="G262:G274" si="18">+E262-D262</f>
        <v>0</v>
      </c>
      <c r="H262" s="492">
        <f t="shared" si="17"/>
        <v>0</v>
      </c>
      <c r="I262" s="607" t="s">
        <v>361</v>
      </c>
      <c r="J262" s="372">
        <v>600000</v>
      </c>
      <c r="K262" s="614" t="s">
        <v>159</v>
      </c>
      <c r="L262" s="615" t="s">
        <v>133</v>
      </c>
      <c r="M262" s="616">
        <v>1</v>
      </c>
      <c r="N262" s="616" t="s">
        <v>136</v>
      </c>
      <c r="O262" s="617" t="s">
        <v>148</v>
      </c>
      <c r="P262" s="372">
        <f t="shared" si="9"/>
        <v>600000</v>
      </c>
      <c r="Q262" s="618" t="s">
        <v>159</v>
      </c>
    </row>
    <row r="263" spans="1:17" ht="17.45" customHeight="1">
      <c r="A263" s="365"/>
      <c r="B263" s="146"/>
      <c r="C263" s="613" t="s">
        <v>315</v>
      </c>
      <c r="D263" s="489">
        <v>7580</v>
      </c>
      <c r="E263" s="489">
        <f t="shared" si="16"/>
        <v>1200</v>
      </c>
      <c r="F263" s="626"/>
      <c r="G263" s="491">
        <f t="shared" si="18"/>
        <v>-6380</v>
      </c>
      <c r="H263" s="492">
        <f t="shared" si="17"/>
        <v>-84.168865435356196</v>
      </c>
      <c r="I263" s="607" t="s">
        <v>361</v>
      </c>
      <c r="J263" s="372">
        <v>1200000</v>
      </c>
      <c r="K263" s="614" t="s">
        <v>159</v>
      </c>
      <c r="L263" s="615" t="s">
        <v>133</v>
      </c>
      <c r="M263" s="616">
        <v>1</v>
      </c>
      <c r="N263" s="616" t="s">
        <v>136</v>
      </c>
      <c r="O263" s="617" t="s">
        <v>148</v>
      </c>
      <c r="P263" s="372">
        <f t="shared" si="9"/>
        <v>1200000</v>
      </c>
      <c r="Q263" s="618" t="s">
        <v>159</v>
      </c>
    </row>
    <row r="264" spans="1:17" ht="17.45" customHeight="1">
      <c r="A264" s="365"/>
      <c r="B264" s="146"/>
      <c r="C264" s="613" t="s">
        <v>108</v>
      </c>
      <c r="D264" s="489">
        <v>7342</v>
      </c>
      <c r="E264" s="489">
        <f t="shared" si="16"/>
        <v>5400</v>
      </c>
      <c r="F264" s="606"/>
      <c r="G264" s="491">
        <f t="shared" si="18"/>
        <v>-1942</v>
      </c>
      <c r="H264" s="520">
        <f t="shared" si="17"/>
        <v>-26.450558430945247</v>
      </c>
      <c r="I264" s="607" t="s">
        <v>361</v>
      </c>
      <c r="J264" s="372">
        <v>2700000</v>
      </c>
      <c r="K264" s="614" t="s">
        <v>159</v>
      </c>
      <c r="L264" s="615" t="s">
        <v>133</v>
      </c>
      <c r="M264" s="616">
        <v>2</v>
      </c>
      <c r="N264" s="616" t="s">
        <v>136</v>
      </c>
      <c r="O264" s="617" t="s">
        <v>148</v>
      </c>
      <c r="P264" s="372">
        <f t="shared" si="9"/>
        <v>5400000</v>
      </c>
      <c r="Q264" s="618" t="s">
        <v>159</v>
      </c>
    </row>
    <row r="265" spans="1:17" ht="17.45" customHeight="1">
      <c r="A265" s="365"/>
      <c r="B265" s="146"/>
      <c r="C265" s="613" t="s">
        <v>41</v>
      </c>
      <c r="D265" s="489">
        <v>3400</v>
      </c>
      <c r="E265" s="489">
        <f t="shared" si="16"/>
        <v>3400</v>
      </c>
      <c r="F265" s="606"/>
      <c r="G265" s="491">
        <f t="shared" si="18"/>
        <v>0</v>
      </c>
      <c r="H265" s="520">
        <f t="shared" si="17"/>
        <v>0</v>
      </c>
      <c r="I265" s="607" t="s">
        <v>361</v>
      </c>
      <c r="J265" s="372">
        <v>850000</v>
      </c>
      <c r="K265" s="614" t="s">
        <v>159</v>
      </c>
      <c r="L265" s="615" t="s">
        <v>133</v>
      </c>
      <c r="M265" s="616">
        <v>4</v>
      </c>
      <c r="N265" s="616" t="s">
        <v>136</v>
      </c>
      <c r="O265" s="617" t="s">
        <v>148</v>
      </c>
      <c r="P265" s="372">
        <f t="shared" si="9"/>
        <v>3400000</v>
      </c>
      <c r="Q265" s="618" t="s">
        <v>159</v>
      </c>
    </row>
    <row r="266" spans="1:17" ht="17.45" customHeight="1">
      <c r="A266" s="365"/>
      <c r="B266" s="146"/>
      <c r="C266" s="632" t="s">
        <v>39</v>
      </c>
      <c r="D266" s="489">
        <v>21492</v>
      </c>
      <c r="E266" s="489">
        <f t="shared" si="16"/>
        <v>4276.3</v>
      </c>
      <c r="F266" s="606"/>
      <c r="G266" s="491">
        <f t="shared" si="18"/>
        <v>-17215.7</v>
      </c>
      <c r="H266" s="520">
        <f t="shared" si="17"/>
        <v>-80.102828959612879</v>
      </c>
      <c r="I266" s="623" t="s">
        <v>470</v>
      </c>
      <c r="J266" s="503">
        <v>2138150</v>
      </c>
      <c r="K266" s="614" t="s">
        <v>159</v>
      </c>
      <c r="L266" s="615" t="s">
        <v>133</v>
      </c>
      <c r="M266" s="616">
        <v>2</v>
      </c>
      <c r="N266" s="616" t="s">
        <v>136</v>
      </c>
      <c r="O266" s="617" t="s">
        <v>148</v>
      </c>
      <c r="P266" s="372">
        <f t="shared" si="9"/>
        <v>4276300</v>
      </c>
      <c r="Q266" s="618" t="s">
        <v>159</v>
      </c>
    </row>
    <row r="267" spans="1:17" ht="17.45" customHeight="1">
      <c r="A267" s="365"/>
      <c r="B267" s="146"/>
      <c r="C267" s="632" t="s">
        <v>74</v>
      </c>
      <c r="D267" s="489">
        <v>300</v>
      </c>
      <c r="E267" s="489">
        <f t="shared" si="16"/>
        <v>300</v>
      </c>
      <c r="F267" s="606"/>
      <c r="G267" s="491">
        <f t="shared" si="18"/>
        <v>0</v>
      </c>
      <c r="H267" s="520">
        <f t="shared" si="17"/>
        <v>0</v>
      </c>
      <c r="I267" s="607" t="s">
        <v>361</v>
      </c>
      <c r="J267" s="503">
        <v>300000</v>
      </c>
      <c r="K267" s="614" t="s">
        <v>159</v>
      </c>
      <c r="L267" s="615" t="s">
        <v>133</v>
      </c>
      <c r="M267" s="616">
        <v>1</v>
      </c>
      <c r="N267" s="616" t="s">
        <v>136</v>
      </c>
      <c r="O267" s="617" t="s">
        <v>148</v>
      </c>
      <c r="P267" s="372">
        <f t="shared" si="9"/>
        <v>300000</v>
      </c>
      <c r="Q267" s="618" t="s">
        <v>159</v>
      </c>
    </row>
    <row r="268" spans="1:17" ht="17.45" customHeight="1">
      <c r="A268" s="365"/>
      <c r="B268" s="146"/>
      <c r="C268" s="22" t="s">
        <v>354</v>
      </c>
      <c r="D268" s="489">
        <v>5195</v>
      </c>
      <c r="E268" s="489">
        <f t="shared" si="16"/>
        <v>2825.2</v>
      </c>
      <c r="F268" s="606"/>
      <c r="G268" s="491">
        <f t="shared" si="18"/>
        <v>-2369.8000000000002</v>
      </c>
      <c r="H268" s="492">
        <f t="shared" ref="H268:H273" si="19">G268/D268*100</f>
        <v>-45.61693936477382</v>
      </c>
      <c r="I268" s="607" t="s">
        <v>470</v>
      </c>
      <c r="J268" s="503">
        <v>1412600</v>
      </c>
      <c r="K268" s="614" t="s">
        <v>159</v>
      </c>
      <c r="L268" s="615" t="s">
        <v>133</v>
      </c>
      <c r="M268" s="616">
        <v>2</v>
      </c>
      <c r="N268" s="616" t="s">
        <v>136</v>
      </c>
      <c r="O268" s="617" t="s">
        <v>148</v>
      </c>
      <c r="P268" s="372">
        <f t="shared" si="9"/>
        <v>2825200</v>
      </c>
      <c r="Q268" s="618" t="s">
        <v>159</v>
      </c>
    </row>
    <row r="269" spans="1:17" ht="17.45" customHeight="1">
      <c r="A269" s="365"/>
      <c r="B269" s="146"/>
      <c r="C269" s="22" t="s">
        <v>227</v>
      </c>
      <c r="D269" s="489">
        <v>5063</v>
      </c>
      <c r="E269" s="489">
        <f t="shared" si="16"/>
        <v>300</v>
      </c>
      <c r="F269" s="606"/>
      <c r="G269" s="491">
        <f t="shared" si="18"/>
        <v>-4763</v>
      </c>
      <c r="H269" s="492">
        <f t="shared" si="19"/>
        <v>-94.074659292909345</v>
      </c>
      <c r="I269" s="607" t="s">
        <v>361</v>
      </c>
      <c r="J269" s="503">
        <v>300000</v>
      </c>
      <c r="K269" s="614" t="s">
        <v>159</v>
      </c>
      <c r="L269" s="615" t="s">
        <v>133</v>
      </c>
      <c r="M269" s="616">
        <v>1</v>
      </c>
      <c r="N269" s="616" t="s">
        <v>136</v>
      </c>
      <c r="O269" s="617" t="s">
        <v>148</v>
      </c>
      <c r="P269" s="372">
        <f t="shared" si="9"/>
        <v>300000</v>
      </c>
      <c r="Q269" s="618" t="s">
        <v>159</v>
      </c>
    </row>
    <row r="270" spans="1:17" ht="17.45" customHeight="1">
      <c r="A270" s="365"/>
      <c r="B270" s="146"/>
      <c r="C270" s="22" t="s">
        <v>318</v>
      </c>
      <c r="D270" s="489">
        <v>300</v>
      </c>
      <c r="E270" s="489">
        <f t="shared" si="16"/>
        <v>300</v>
      </c>
      <c r="F270" s="606"/>
      <c r="G270" s="491">
        <f t="shared" si="18"/>
        <v>0</v>
      </c>
      <c r="H270" s="492">
        <f t="shared" si="19"/>
        <v>0</v>
      </c>
      <c r="I270" s="607" t="s">
        <v>361</v>
      </c>
      <c r="J270" s="503">
        <v>300000</v>
      </c>
      <c r="K270" s="614" t="s">
        <v>159</v>
      </c>
      <c r="L270" s="615" t="s">
        <v>133</v>
      </c>
      <c r="M270" s="616">
        <v>1</v>
      </c>
      <c r="N270" s="616" t="s">
        <v>136</v>
      </c>
      <c r="O270" s="617" t="s">
        <v>148</v>
      </c>
      <c r="P270" s="372">
        <f t="shared" si="9"/>
        <v>300000</v>
      </c>
      <c r="Q270" s="618" t="s">
        <v>159</v>
      </c>
    </row>
    <row r="271" spans="1:17" ht="17.45" customHeight="1">
      <c r="A271" s="365"/>
      <c r="B271" s="146"/>
      <c r="C271" s="22" t="s">
        <v>367</v>
      </c>
      <c r="D271" s="489">
        <v>5000</v>
      </c>
      <c r="E271" s="489">
        <f t="shared" si="16"/>
        <v>5000</v>
      </c>
      <c r="F271" s="606"/>
      <c r="G271" s="491">
        <f t="shared" si="18"/>
        <v>0</v>
      </c>
      <c r="H271" s="492">
        <f t="shared" si="19"/>
        <v>0</v>
      </c>
      <c r="I271" s="607" t="s">
        <v>361</v>
      </c>
      <c r="J271" s="503">
        <v>5000000</v>
      </c>
      <c r="K271" s="614" t="s">
        <v>159</v>
      </c>
      <c r="L271" s="615" t="s">
        <v>133</v>
      </c>
      <c r="M271" s="616">
        <v>1</v>
      </c>
      <c r="N271" s="616" t="s">
        <v>136</v>
      </c>
      <c r="O271" s="617" t="s">
        <v>148</v>
      </c>
      <c r="P271" s="372">
        <f t="shared" si="9"/>
        <v>5000000</v>
      </c>
      <c r="Q271" s="618" t="s">
        <v>159</v>
      </c>
    </row>
    <row r="272" spans="1:17" ht="17.45" customHeight="1">
      <c r="A272" s="365"/>
      <c r="B272" s="146"/>
      <c r="C272" s="613" t="s">
        <v>15</v>
      </c>
      <c r="D272" s="489">
        <v>300</v>
      </c>
      <c r="E272" s="489">
        <f t="shared" si="16"/>
        <v>300</v>
      </c>
      <c r="F272" s="606"/>
      <c r="G272" s="491">
        <f t="shared" si="18"/>
        <v>0</v>
      </c>
      <c r="H272" s="492">
        <f t="shared" si="19"/>
        <v>0</v>
      </c>
      <c r="I272" s="607" t="s">
        <v>361</v>
      </c>
      <c r="J272" s="503">
        <v>300000</v>
      </c>
      <c r="K272" s="614" t="s">
        <v>159</v>
      </c>
      <c r="L272" s="615" t="s">
        <v>133</v>
      </c>
      <c r="M272" s="616">
        <v>1</v>
      </c>
      <c r="N272" s="616" t="s">
        <v>136</v>
      </c>
      <c r="O272" s="617" t="s">
        <v>148</v>
      </c>
      <c r="P272" s="372">
        <f t="shared" si="9"/>
        <v>300000</v>
      </c>
      <c r="Q272" s="618" t="s">
        <v>159</v>
      </c>
    </row>
    <row r="273" spans="1:17" ht="17.45" customHeight="1">
      <c r="A273" s="365"/>
      <c r="B273" s="146"/>
      <c r="C273" s="613" t="s">
        <v>307</v>
      </c>
      <c r="D273" s="489">
        <v>300</v>
      </c>
      <c r="E273" s="489">
        <f t="shared" si="16"/>
        <v>1070</v>
      </c>
      <c r="F273" s="606"/>
      <c r="G273" s="491">
        <f t="shared" si="18"/>
        <v>770</v>
      </c>
      <c r="H273" s="492">
        <f t="shared" si="19"/>
        <v>256.66666666666669</v>
      </c>
      <c r="I273" s="607" t="s">
        <v>470</v>
      </c>
      <c r="J273" s="372">
        <v>535000</v>
      </c>
      <c r="K273" s="614" t="s">
        <v>159</v>
      </c>
      <c r="L273" s="615" t="s">
        <v>133</v>
      </c>
      <c r="M273" s="616">
        <v>2</v>
      </c>
      <c r="N273" s="616" t="s">
        <v>136</v>
      </c>
      <c r="O273" s="617" t="s">
        <v>148</v>
      </c>
      <c r="P273" s="372">
        <f t="shared" si="9"/>
        <v>1070000</v>
      </c>
      <c r="Q273" s="618" t="s">
        <v>159</v>
      </c>
    </row>
    <row r="274" spans="1:17" ht="17.45" customHeight="1">
      <c r="A274" s="365"/>
      <c r="B274" s="146"/>
      <c r="C274" s="613" t="s">
        <v>62</v>
      </c>
      <c r="D274" s="489">
        <v>600</v>
      </c>
      <c r="E274" s="489">
        <f t="shared" si="16"/>
        <v>3900</v>
      </c>
      <c r="F274" s="606"/>
      <c r="G274" s="491">
        <f t="shared" si="18"/>
        <v>3300</v>
      </c>
      <c r="H274" s="492">
        <f>+G274/D274*100</f>
        <v>550</v>
      </c>
      <c r="I274" s="607" t="s">
        <v>470</v>
      </c>
      <c r="J274" s="372">
        <v>1950000</v>
      </c>
      <c r="K274" s="614" t="s">
        <v>159</v>
      </c>
      <c r="L274" s="615" t="s">
        <v>133</v>
      </c>
      <c r="M274" s="616">
        <v>2</v>
      </c>
      <c r="N274" s="616" t="s">
        <v>136</v>
      </c>
      <c r="O274" s="617" t="s">
        <v>148</v>
      </c>
      <c r="P274" s="372">
        <f t="shared" si="9"/>
        <v>3900000</v>
      </c>
      <c r="Q274" s="618" t="s">
        <v>159</v>
      </c>
    </row>
    <row r="275" spans="1:17" ht="17.45" customHeight="1">
      <c r="A275" s="365"/>
      <c r="B275" s="146"/>
      <c r="C275" s="632" t="s">
        <v>59</v>
      </c>
      <c r="D275" s="489">
        <v>22706.89</v>
      </c>
      <c r="E275" s="489">
        <f t="shared" ref="E275:E280" si="20">P275/1000</f>
        <v>1800</v>
      </c>
      <c r="F275" s="606"/>
      <c r="G275" s="491">
        <f t="shared" ref="G275:G288" si="21">+E275-D275</f>
        <v>-20906.89</v>
      </c>
      <c r="H275" s="492">
        <f>+G275/D275*100</f>
        <v>-92.072890651251669</v>
      </c>
      <c r="I275" s="623" t="s">
        <v>361</v>
      </c>
      <c r="J275" s="372">
        <v>1800000</v>
      </c>
      <c r="K275" s="614" t="s">
        <v>159</v>
      </c>
      <c r="L275" s="615" t="s">
        <v>133</v>
      </c>
      <c r="M275" s="616">
        <v>1</v>
      </c>
      <c r="N275" s="616" t="s">
        <v>136</v>
      </c>
      <c r="O275" s="617" t="s">
        <v>148</v>
      </c>
      <c r="P275" s="372">
        <f t="shared" si="9"/>
        <v>1800000</v>
      </c>
      <c r="Q275" s="618" t="s">
        <v>159</v>
      </c>
    </row>
    <row r="276" spans="1:17" ht="17.45" customHeight="1">
      <c r="A276" s="514"/>
      <c r="B276" s="242"/>
      <c r="C276" s="624" t="s">
        <v>17</v>
      </c>
      <c r="D276" s="620">
        <v>1200</v>
      </c>
      <c r="E276" s="620">
        <f t="shared" si="20"/>
        <v>2464.5</v>
      </c>
      <c r="F276" s="621"/>
      <c r="G276" s="519">
        <f t="shared" si="21"/>
        <v>1264.5</v>
      </c>
      <c r="H276" s="520">
        <f>+G276/D276*100</f>
        <v>105.375</v>
      </c>
      <c r="I276" s="623" t="s">
        <v>470</v>
      </c>
      <c r="J276" s="372">
        <v>1232250</v>
      </c>
      <c r="K276" s="614" t="s">
        <v>159</v>
      </c>
      <c r="L276" s="615" t="s">
        <v>133</v>
      </c>
      <c r="M276" s="616">
        <v>2</v>
      </c>
      <c r="N276" s="616" t="s">
        <v>136</v>
      </c>
      <c r="O276" s="617" t="s">
        <v>148</v>
      </c>
      <c r="P276" s="372">
        <f t="shared" si="9"/>
        <v>2464500</v>
      </c>
      <c r="Q276" s="618" t="s">
        <v>159</v>
      </c>
    </row>
    <row r="277" spans="1:17" ht="17.45" customHeight="1">
      <c r="A277" s="514"/>
      <c r="B277" s="242"/>
      <c r="C277" s="624" t="s">
        <v>19</v>
      </c>
      <c r="D277" s="620">
        <v>300</v>
      </c>
      <c r="E277" s="620">
        <f t="shared" si="20"/>
        <v>9460</v>
      </c>
      <c r="F277" s="621"/>
      <c r="G277" s="519">
        <f t="shared" si="21"/>
        <v>9160</v>
      </c>
      <c r="H277" s="520">
        <f>+G277/D277*100</f>
        <v>3053.3333333333335</v>
      </c>
      <c r="I277" s="607" t="s">
        <v>470</v>
      </c>
      <c r="J277" s="372">
        <v>4730000</v>
      </c>
      <c r="K277" s="614" t="s">
        <v>159</v>
      </c>
      <c r="L277" s="615" t="s">
        <v>133</v>
      </c>
      <c r="M277" s="616">
        <v>2</v>
      </c>
      <c r="N277" s="616" t="s">
        <v>136</v>
      </c>
      <c r="O277" s="617" t="s">
        <v>148</v>
      </c>
      <c r="P277" s="372">
        <f t="shared" si="9"/>
        <v>9460000</v>
      </c>
      <c r="Q277" s="618" t="s">
        <v>159</v>
      </c>
    </row>
    <row r="278" spans="1:17" ht="17.45" customHeight="1">
      <c r="A278" s="514"/>
      <c r="B278" s="242"/>
      <c r="C278" s="633" t="s">
        <v>47</v>
      </c>
      <c r="D278" s="595">
        <v>22160</v>
      </c>
      <c r="E278" s="620">
        <f t="shared" si="20"/>
        <v>1500</v>
      </c>
      <c r="F278" s="629"/>
      <c r="G278" s="519">
        <f t="shared" si="21"/>
        <v>-20660</v>
      </c>
      <c r="H278" s="520">
        <f>G278/D278*100</f>
        <v>-93.231046931407946</v>
      </c>
      <c r="I278" s="607" t="s">
        <v>361</v>
      </c>
      <c r="J278" s="372">
        <v>1500000</v>
      </c>
      <c r="K278" s="614" t="s">
        <v>159</v>
      </c>
      <c r="L278" s="615" t="s">
        <v>133</v>
      </c>
      <c r="M278" s="616">
        <v>1</v>
      </c>
      <c r="N278" s="616" t="s">
        <v>136</v>
      </c>
      <c r="O278" s="617" t="s">
        <v>148</v>
      </c>
      <c r="P278" s="372">
        <f t="shared" ref="P278:P308" si="22">J278*M278</f>
        <v>1500000</v>
      </c>
      <c r="Q278" s="618" t="s">
        <v>159</v>
      </c>
    </row>
    <row r="279" spans="1:17" ht="17.45" customHeight="1">
      <c r="A279" s="514"/>
      <c r="B279" s="242"/>
      <c r="C279" s="632" t="s">
        <v>343</v>
      </c>
      <c r="D279" s="489">
        <v>4013</v>
      </c>
      <c r="E279" s="489">
        <f t="shared" si="20"/>
        <v>1200</v>
      </c>
      <c r="F279" s="606"/>
      <c r="G279" s="491">
        <f t="shared" si="21"/>
        <v>-2813</v>
      </c>
      <c r="H279" s="492">
        <f>G279/D279*100</f>
        <v>-70.097184151507591</v>
      </c>
      <c r="I279" s="607" t="s">
        <v>361</v>
      </c>
      <c r="J279" s="372">
        <v>1200000</v>
      </c>
      <c r="K279" s="614" t="s">
        <v>159</v>
      </c>
      <c r="L279" s="615" t="s">
        <v>133</v>
      </c>
      <c r="M279" s="616">
        <v>1</v>
      </c>
      <c r="N279" s="616" t="s">
        <v>136</v>
      </c>
      <c r="O279" s="617" t="s">
        <v>148</v>
      </c>
      <c r="P279" s="372">
        <f t="shared" si="22"/>
        <v>1200000</v>
      </c>
      <c r="Q279" s="618" t="s">
        <v>159</v>
      </c>
    </row>
    <row r="280" spans="1:17" ht="17.45" customHeight="1">
      <c r="A280" s="514" t="s">
        <v>140</v>
      </c>
      <c r="B280" s="242" t="s">
        <v>140</v>
      </c>
      <c r="C280" s="634" t="s">
        <v>51</v>
      </c>
      <c r="D280" s="595">
        <v>2200</v>
      </c>
      <c r="E280" s="620">
        <f t="shared" si="20"/>
        <v>1800</v>
      </c>
      <c r="F280" s="629"/>
      <c r="G280" s="519">
        <f t="shared" si="21"/>
        <v>-400</v>
      </c>
      <c r="H280" s="520">
        <f t="shared" ref="H280:H285" si="23">+G280/D280*100</f>
        <v>-18.181818181818183</v>
      </c>
      <c r="I280" s="623" t="s">
        <v>361</v>
      </c>
      <c r="J280" s="372">
        <v>1800000</v>
      </c>
      <c r="K280" s="614" t="s">
        <v>159</v>
      </c>
      <c r="L280" s="615" t="s">
        <v>133</v>
      </c>
      <c r="M280" s="616">
        <v>1</v>
      </c>
      <c r="N280" s="616" t="s">
        <v>136</v>
      </c>
      <c r="O280" s="617" t="s">
        <v>148</v>
      </c>
      <c r="P280" s="372">
        <f t="shared" si="22"/>
        <v>1800000</v>
      </c>
      <c r="Q280" s="618" t="s">
        <v>159</v>
      </c>
    </row>
    <row r="281" spans="1:17" ht="17.45" customHeight="1">
      <c r="A281" s="514"/>
      <c r="B281" s="242"/>
      <c r="C281" s="628" t="s">
        <v>323</v>
      </c>
      <c r="D281" s="565">
        <v>1200</v>
      </c>
      <c r="E281" s="489">
        <f t="shared" ref="E281:E290" si="24">P281/1000</f>
        <v>1200</v>
      </c>
      <c r="F281" s="626"/>
      <c r="G281" s="491">
        <f t="shared" si="21"/>
        <v>0</v>
      </c>
      <c r="H281" s="492">
        <f t="shared" si="23"/>
        <v>0</v>
      </c>
      <c r="I281" s="607" t="s">
        <v>361</v>
      </c>
      <c r="J281" s="372">
        <v>1200000</v>
      </c>
      <c r="K281" s="614" t="s">
        <v>159</v>
      </c>
      <c r="L281" s="615" t="s">
        <v>133</v>
      </c>
      <c r="M281" s="616">
        <v>1</v>
      </c>
      <c r="N281" s="616" t="s">
        <v>136</v>
      </c>
      <c r="O281" s="617" t="s">
        <v>148</v>
      </c>
      <c r="P281" s="372">
        <f t="shared" si="22"/>
        <v>1200000</v>
      </c>
      <c r="Q281" s="618" t="s">
        <v>159</v>
      </c>
    </row>
    <row r="282" spans="1:17" ht="17.45" customHeight="1">
      <c r="A282" s="514"/>
      <c r="B282" s="242"/>
      <c r="C282" s="628" t="s">
        <v>334</v>
      </c>
      <c r="D282" s="635">
        <v>3000</v>
      </c>
      <c r="E282" s="489">
        <f t="shared" si="24"/>
        <v>2000</v>
      </c>
      <c r="F282" s="626"/>
      <c r="G282" s="491">
        <f t="shared" si="21"/>
        <v>-1000</v>
      </c>
      <c r="H282" s="492">
        <f t="shared" si="23"/>
        <v>-33.333333333333329</v>
      </c>
      <c r="I282" s="607" t="s">
        <v>361</v>
      </c>
      <c r="J282" s="372">
        <v>500000</v>
      </c>
      <c r="K282" s="614" t="s">
        <v>159</v>
      </c>
      <c r="L282" s="615" t="s">
        <v>133</v>
      </c>
      <c r="M282" s="616">
        <v>4</v>
      </c>
      <c r="N282" s="616" t="s">
        <v>136</v>
      </c>
      <c r="O282" s="617" t="s">
        <v>148</v>
      </c>
      <c r="P282" s="372">
        <f>J282*M282</f>
        <v>2000000</v>
      </c>
      <c r="Q282" s="618" t="s">
        <v>159</v>
      </c>
    </row>
    <row r="283" spans="1:17" ht="17.45" customHeight="1">
      <c r="A283" s="514"/>
      <c r="B283" s="242"/>
      <c r="C283" s="613" t="s">
        <v>112</v>
      </c>
      <c r="D283" s="489">
        <v>9400</v>
      </c>
      <c r="E283" s="489">
        <f t="shared" si="24"/>
        <v>300</v>
      </c>
      <c r="F283" s="606"/>
      <c r="G283" s="491">
        <f t="shared" si="21"/>
        <v>-9100</v>
      </c>
      <c r="H283" s="492">
        <f t="shared" si="23"/>
        <v>-96.808510638297875</v>
      </c>
      <c r="I283" s="623" t="s">
        <v>361</v>
      </c>
      <c r="J283" s="372">
        <v>300000</v>
      </c>
      <c r="K283" s="614" t="s">
        <v>159</v>
      </c>
      <c r="L283" s="615" t="s">
        <v>133</v>
      </c>
      <c r="M283" s="616">
        <v>1</v>
      </c>
      <c r="N283" s="616" t="s">
        <v>136</v>
      </c>
      <c r="O283" s="617" t="s">
        <v>148</v>
      </c>
      <c r="P283" s="372">
        <f t="shared" si="22"/>
        <v>300000</v>
      </c>
      <c r="Q283" s="618" t="s">
        <v>159</v>
      </c>
    </row>
    <row r="284" spans="1:17" ht="17.45" customHeight="1">
      <c r="A284" s="514"/>
      <c r="B284" s="242"/>
      <c r="C284" s="619" t="s">
        <v>344</v>
      </c>
      <c r="D284" s="620">
        <v>10000</v>
      </c>
      <c r="E284" s="620">
        <f t="shared" si="24"/>
        <v>10000</v>
      </c>
      <c r="F284" s="621"/>
      <c r="G284" s="519">
        <f t="shared" si="21"/>
        <v>0</v>
      </c>
      <c r="H284" s="520">
        <f t="shared" si="23"/>
        <v>0</v>
      </c>
      <c r="I284" s="623" t="s">
        <v>361</v>
      </c>
      <c r="J284" s="372">
        <v>2500000</v>
      </c>
      <c r="K284" s="614" t="s">
        <v>159</v>
      </c>
      <c r="L284" s="615" t="s">
        <v>133</v>
      </c>
      <c r="M284" s="616">
        <v>4</v>
      </c>
      <c r="N284" s="616" t="s">
        <v>136</v>
      </c>
      <c r="O284" s="617" t="s">
        <v>148</v>
      </c>
      <c r="P284" s="372">
        <f t="shared" si="22"/>
        <v>10000000</v>
      </c>
      <c r="Q284" s="618" t="s">
        <v>159</v>
      </c>
    </row>
    <row r="285" spans="1:17" ht="17.45" customHeight="1">
      <c r="A285" s="365"/>
      <c r="B285" s="146"/>
      <c r="C285" s="624" t="s">
        <v>2</v>
      </c>
      <c r="D285" s="620">
        <v>5230.1099999999997</v>
      </c>
      <c r="E285" s="620">
        <f t="shared" si="24"/>
        <v>5000</v>
      </c>
      <c r="F285" s="621"/>
      <c r="G285" s="519">
        <f t="shared" si="21"/>
        <v>-230.10999999999967</v>
      </c>
      <c r="H285" s="520">
        <f t="shared" si="23"/>
        <v>-4.3997162583578486</v>
      </c>
      <c r="I285" s="623" t="s">
        <v>361</v>
      </c>
      <c r="J285" s="372">
        <v>5000000</v>
      </c>
      <c r="K285" s="614" t="s">
        <v>159</v>
      </c>
      <c r="L285" s="615" t="s">
        <v>133</v>
      </c>
      <c r="M285" s="616">
        <v>1</v>
      </c>
      <c r="N285" s="616" t="s">
        <v>136</v>
      </c>
      <c r="O285" s="617" t="s">
        <v>148</v>
      </c>
      <c r="P285" s="372">
        <f t="shared" si="22"/>
        <v>5000000</v>
      </c>
      <c r="Q285" s="618" t="s">
        <v>159</v>
      </c>
    </row>
    <row r="286" spans="1:17" ht="17.45" customHeight="1">
      <c r="A286" s="514"/>
      <c r="B286" s="242"/>
      <c r="C286" s="23" t="s">
        <v>348</v>
      </c>
      <c r="D286" s="595">
        <v>28432</v>
      </c>
      <c r="E286" s="620">
        <f t="shared" si="24"/>
        <v>1500</v>
      </c>
      <c r="F286" s="629"/>
      <c r="G286" s="519">
        <f t="shared" si="21"/>
        <v>-26932</v>
      </c>
      <c r="H286" s="520">
        <f>G286/D286*100</f>
        <v>-94.724254361283073</v>
      </c>
      <c r="I286" s="623" t="s">
        <v>361</v>
      </c>
      <c r="J286" s="372">
        <v>1500000</v>
      </c>
      <c r="K286" s="614" t="s">
        <v>159</v>
      </c>
      <c r="L286" s="615" t="s">
        <v>133</v>
      </c>
      <c r="M286" s="616">
        <v>1</v>
      </c>
      <c r="N286" s="616" t="s">
        <v>136</v>
      </c>
      <c r="O286" s="617" t="s">
        <v>148</v>
      </c>
      <c r="P286" s="372">
        <f t="shared" si="22"/>
        <v>1500000</v>
      </c>
      <c r="Q286" s="618" t="s">
        <v>159</v>
      </c>
    </row>
    <row r="287" spans="1:17" ht="17.45" customHeight="1">
      <c r="A287" s="365"/>
      <c r="B287" s="146"/>
      <c r="C287" s="628" t="s">
        <v>266</v>
      </c>
      <c r="D287" s="565">
        <v>300</v>
      </c>
      <c r="E287" s="489">
        <f t="shared" si="24"/>
        <v>300</v>
      </c>
      <c r="F287" s="626"/>
      <c r="G287" s="491">
        <f t="shared" si="21"/>
        <v>0</v>
      </c>
      <c r="H287" s="492">
        <f>G287/D287*100</f>
        <v>0</v>
      </c>
      <c r="I287" s="607" t="s">
        <v>361</v>
      </c>
      <c r="J287" s="372">
        <v>300000</v>
      </c>
      <c r="K287" s="614" t="s">
        <v>159</v>
      </c>
      <c r="L287" s="615" t="s">
        <v>133</v>
      </c>
      <c r="M287" s="616">
        <v>1</v>
      </c>
      <c r="N287" s="616" t="s">
        <v>136</v>
      </c>
      <c r="O287" s="617" t="s">
        <v>148</v>
      </c>
      <c r="P287" s="372">
        <f t="shared" si="22"/>
        <v>300000</v>
      </c>
      <c r="Q287" s="618" t="s">
        <v>159</v>
      </c>
    </row>
    <row r="288" spans="1:17" ht="17.45" customHeight="1">
      <c r="A288" s="365"/>
      <c r="B288" s="146"/>
      <c r="C288" s="628" t="s">
        <v>294</v>
      </c>
      <c r="D288" s="565">
        <v>4300</v>
      </c>
      <c r="E288" s="489">
        <f t="shared" si="24"/>
        <v>300</v>
      </c>
      <c r="F288" s="626"/>
      <c r="G288" s="491">
        <f t="shared" si="21"/>
        <v>-4000</v>
      </c>
      <c r="H288" s="492">
        <f>G288/D288*100</f>
        <v>-93.023255813953483</v>
      </c>
      <c r="I288" s="607" t="s">
        <v>361</v>
      </c>
      <c r="J288" s="372">
        <v>300000</v>
      </c>
      <c r="K288" s="614" t="s">
        <v>159</v>
      </c>
      <c r="L288" s="615" t="s">
        <v>133</v>
      </c>
      <c r="M288" s="616">
        <v>1</v>
      </c>
      <c r="N288" s="616" t="s">
        <v>136</v>
      </c>
      <c r="O288" s="617" t="s">
        <v>148</v>
      </c>
      <c r="P288" s="372">
        <f t="shared" si="22"/>
        <v>300000</v>
      </c>
      <c r="Q288" s="618" t="s">
        <v>159</v>
      </c>
    </row>
    <row r="289" spans="1:17" ht="17.45" customHeight="1">
      <c r="A289" s="365"/>
      <c r="B289" s="146"/>
      <c r="C289" s="628" t="s">
        <v>358</v>
      </c>
      <c r="D289" s="565">
        <v>13300</v>
      </c>
      <c r="E289" s="489">
        <f t="shared" si="24"/>
        <v>3300</v>
      </c>
      <c r="F289" s="626"/>
      <c r="G289" s="491">
        <f t="shared" ref="G289:G301" si="25">+E289-D289</f>
        <v>-10000</v>
      </c>
      <c r="H289" s="492">
        <f>G289/D289*100</f>
        <v>-75.187969924812023</v>
      </c>
      <c r="I289" s="607" t="s">
        <v>361</v>
      </c>
      <c r="J289" s="372">
        <v>3300000</v>
      </c>
      <c r="K289" s="614" t="s">
        <v>159</v>
      </c>
      <c r="L289" s="615" t="s">
        <v>133</v>
      </c>
      <c r="M289" s="616">
        <v>1</v>
      </c>
      <c r="N289" s="616" t="s">
        <v>136</v>
      </c>
      <c r="O289" s="617" t="s">
        <v>148</v>
      </c>
      <c r="P289" s="372">
        <f t="shared" si="22"/>
        <v>3300000</v>
      </c>
      <c r="Q289" s="618" t="s">
        <v>159</v>
      </c>
    </row>
    <row r="290" spans="1:17" ht="17.45" customHeight="1">
      <c r="A290" s="365"/>
      <c r="B290" s="146"/>
      <c r="C290" s="628" t="s">
        <v>339</v>
      </c>
      <c r="D290" s="565">
        <v>300</v>
      </c>
      <c r="E290" s="489">
        <f t="shared" si="24"/>
        <v>300</v>
      </c>
      <c r="F290" s="626"/>
      <c r="G290" s="491">
        <f t="shared" si="25"/>
        <v>0</v>
      </c>
      <c r="H290" s="492">
        <f>G290/D290*100</f>
        <v>0</v>
      </c>
      <c r="I290" s="607" t="s">
        <v>361</v>
      </c>
      <c r="J290" s="372">
        <v>300000</v>
      </c>
      <c r="K290" s="614" t="s">
        <v>159</v>
      </c>
      <c r="L290" s="615" t="s">
        <v>133</v>
      </c>
      <c r="M290" s="616">
        <v>1</v>
      </c>
      <c r="N290" s="616" t="s">
        <v>136</v>
      </c>
      <c r="O290" s="617" t="s">
        <v>148</v>
      </c>
      <c r="P290" s="372">
        <f t="shared" si="22"/>
        <v>300000</v>
      </c>
      <c r="Q290" s="618" t="s">
        <v>159</v>
      </c>
    </row>
    <row r="291" spans="1:17" ht="17.45" customHeight="1">
      <c r="A291" s="365"/>
      <c r="B291" s="146"/>
      <c r="C291" s="625" t="s">
        <v>42</v>
      </c>
      <c r="D291" s="565">
        <v>34000</v>
      </c>
      <c r="E291" s="489">
        <f t="shared" ref="E291:E301" si="26">P291/1000</f>
        <v>34000</v>
      </c>
      <c r="F291" s="626"/>
      <c r="G291" s="491">
        <f t="shared" si="25"/>
        <v>0</v>
      </c>
      <c r="H291" s="492">
        <f t="shared" ref="H291:H297" si="27">+G291/D291*100</f>
        <v>0</v>
      </c>
      <c r="I291" s="607" t="s">
        <v>361</v>
      </c>
      <c r="J291" s="372">
        <v>8500000</v>
      </c>
      <c r="K291" s="614" t="s">
        <v>159</v>
      </c>
      <c r="L291" s="615" t="s">
        <v>133</v>
      </c>
      <c r="M291" s="616">
        <v>4</v>
      </c>
      <c r="N291" s="616" t="s">
        <v>136</v>
      </c>
      <c r="O291" s="617" t="s">
        <v>148</v>
      </c>
      <c r="P291" s="372">
        <f t="shared" si="22"/>
        <v>34000000</v>
      </c>
      <c r="Q291" s="618" t="s">
        <v>159</v>
      </c>
    </row>
    <row r="292" spans="1:17" ht="17.45" customHeight="1">
      <c r="A292" s="365"/>
      <c r="B292" s="146"/>
      <c r="C292" s="625" t="s">
        <v>85</v>
      </c>
      <c r="D292" s="565">
        <v>300</v>
      </c>
      <c r="E292" s="489">
        <f t="shared" si="26"/>
        <v>300</v>
      </c>
      <c r="F292" s="626"/>
      <c r="G292" s="491">
        <f t="shared" si="25"/>
        <v>0</v>
      </c>
      <c r="H292" s="492">
        <f t="shared" si="27"/>
        <v>0</v>
      </c>
      <c r="I292" s="607" t="s">
        <v>361</v>
      </c>
      <c r="J292" s="372">
        <v>300000</v>
      </c>
      <c r="K292" s="614" t="s">
        <v>159</v>
      </c>
      <c r="L292" s="615" t="s">
        <v>133</v>
      </c>
      <c r="M292" s="616">
        <v>1</v>
      </c>
      <c r="N292" s="616" t="s">
        <v>136</v>
      </c>
      <c r="O292" s="617" t="s">
        <v>148</v>
      </c>
      <c r="P292" s="372">
        <f t="shared" si="22"/>
        <v>300000</v>
      </c>
      <c r="Q292" s="618" t="s">
        <v>159</v>
      </c>
    </row>
    <row r="293" spans="1:17" ht="17.45" customHeight="1">
      <c r="A293" s="365"/>
      <c r="B293" s="146"/>
      <c r="C293" s="625" t="s">
        <v>48</v>
      </c>
      <c r="D293" s="565">
        <v>5000</v>
      </c>
      <c r="E293" s="489">
        <f t="shared" si="26"/>
        <v>5000</v>
      </c>
      <c r="F293" s="626"/>
      <c r="G293" s="491">
        <f t="shared" si="25"/>
        <v>0</v>
      </c>
      <c r="H293" s="492">
        <f t="shared" si="27"/>
        <v>0</v>
      </c>
      <c r="I293" s="607" t="s">
        <v>361</v>
      </c>
      <c r="J293" s="372">
        <v>1250000</v>
      </c>
      <c r="K293" s="614" t="s">
        <v>159</v>
      </c>
      <c r="L293" s="615" t="s">
        <v>133</v>
      </c>
      <c r="M293" s="616">
        <v>4</v>
      </c>
      <c r="N293" s="616" t="s">
        <v>136</v>
      </c>
      <c r="O293" s="617" t="s">
        <v>148</v>
      </c>
      <c r="P293" s="372">
        <f t="shared" si="22"/>
        <v>5000000</v>
      </c>
      <c r="Q293" s="618" t="s">
        <v>159</v>
      </c>
    </row>
    <row r="294" spans="1:17" ht="17.45" customHeight="1">
      <c r="A294" s="365"/>
      <c r="B294" s="146"/>
      <c r="C294" s="625" t="s">
        <v>86</v>
      </c>
      <c r="D294" s="565">
        <v>47937.74</v>
      </c>
      <c r="E294" s="489">
        <f t="shared" si="26"/>
        <v>2100</v>
      </c>
      <c r="F294" s="626"/>
      <c r="G294" s="491">
        <f t="shared" si="25"/>
        <v>-45837.74</v>
      </c>
      <c r="H294" s="492">
        <v>0</v>
      </c>
      <c r="I294" s="623" t="s">
        <v>361</v>
      </c>
      <c r="J294" s="372">
        <v>2100000</v>
      </c>
      <c r="K294" s="614" t="s">
        <v>159</v>
      </c>
      <c r="L294" s="615" t="s">
        <v>133</v>
      </c>
      <c r="M294" s="616">
        <v>1</v>
      </c>
      <c r="N294" s="616" t="s">
        <v>136</v>
      </c>
      <c r="O294" s="617" t="s">
        <v>148</v>
      </c>
      <c r="P294" s="372">
        <f t="shared" si="22"/>
        <v>2100000</v>
      </c>
      <c r="Q294" s="618" t="s">
        <v>159</v>
      </c>
    </row>
    <row r="295" spans="1:17" ht="17.45" customHeight="1">
      <c r="A295" s="514"/>
      <c r="B295" s="242"/>
      <c r="C295" s="625" t="s">
        <v>87</v>
      </c>
      <c r="D295" s="565">
        <v>89886.16</v>
      </c>
      <c r="E295" s="489">
        <f t="shared" si="26"/>
        <v>70000</v>
      </c>
      <c r="F295" s="626"/>
      <c r="G295" s="491">
        <f t="shared" si="25"/>
        <v>-19886.160000000003</v>
      </c>
      <c r="H295" s="492">
        <f t="shared" si="27"/>
        <v>-22.123717377625212</v>
      </c>
      <c r="I295" s="623" t="s">
        <v>361</v>
      </c>
      <c r="J295" s="372">
        <v>17500000</v>
      </c>
      <c r="K295" s="614" t="s">
        <v>159</v>
      </c>
      <c r="L295" s="615" t="s">
        <v>133</v>
      </c>
      <c r="M295" s="616">
        <v>4</v>
      </c>
      <c r="N295" s="616" t="s">
        <v>136</v>
      </c>
      <c r="O295" s="617" t="s">
        <v>148</v>
      </c>
      <c r="P295" s="372">
        <f t="shared" si="22"/>
        <v>70000000</v>
      </c>
      <c r="Q295" s="618" t="s">
        <v>159</v>
      </c>
    </row>
    <row r="296" spans="1:17" ht="17.45" customHeight="1">
      <c r="A296" s="365"/>
      <c r="B296" s="146"/>
      <c r="C296" s="628" t="s">
        <v>274</v>
      </c>
      <c r="D296" s="565">
        <v>8850</v>
      </c>
      <c r="E296" s="489">
        <f t="shared" si="26"/>
        <v>11200</v>
      </c>
      <c r="F296" s="626"/>
      <c r="G296" s="491">
        <f t="shared" si="25"/>
        <v>2350</v>
      </c>
      <c r="H296" s="492">
        <f t="shared" si="27"/>
        <v>26.55367231638418</v>
      </c>
      <c r="I296" s="623" t="s">
        <v>470</v>
      </c>
      <c r="J296" s="372">
        <v>5600000</v>
      </c>
      <c r="K296" s="614" t="s">
        <v>159</v>
      </c>
      <c r="L296" s="615" t="s">
        <v>133</v>
      </c>
      <c r="M296" s="616">
        <v>2</v>
      </c>
      <c r="N296" s="616" t="s">
        <v>136</v>
      </c>
      <c r="O296" s="617" t="s">
        <v>148</v>
      </c>
      <c r="P296" s="372">
        <f t="shared" si="22"/>
        <v>11200000</v>
      </c>
      <c r="Q296" s="618" t="s">
        <v>159</v>
      </c>
    </row>
    <row r="297" spans="1:17" ht="17.45" customHeight="1">
      <c r="A297" s="365"/>
      <c r="B297" s="146"/>
      <c r="C297" s="625" t="s">
        <v>83</v>
      </c>
      <c r="D297" s="565">
        <v>300</v>
      </c>
      <c r="E297" s="489">
        <f t="shared" si="26"/>
        <v>300</v>
      </c>
      <c r="F297" s="626"/>
      <c r="G297" s="491">
        <f t="shared" si="25"/>
        <v>0</v>
      </c>
      <c r="H297" s="492">
        <f t="shared" si="27"/>
        <v>0</v>
      </c>
      <c r="I297" s="607" t="s">
        <v>361</v>
      </c>
      <c r="J297" s="372">
        <v>300000</v>
      </c>
      <c r="K297" s="614" t="s">
        <v>159</v>
      </c>
      <c r="L297" s="615" t="s">
        <v>133</v>
      </c>
      <c r="M297" s="616">
        <v>1</v>
      </c>
      <c r="N297" s="616" t="s">
        <v>136</v>
      </c>
      <c r="O297" s="617" t="s">
        <v>148</v>
      </c>
      <c r="P297" s="372">
        <f t="shared" si="22"/>
        <v>300000</v>
      </c>
      <c r="Q297" s="618" t="s">
        <v>159</v>
      </c>
    </row>
    <row r="298" spans="1:17" ht="17.45" customHeight="1">
      <c r="A298" s="365"/>
      <c r="B298" s="146"/>
      <c r="C298" s="625" t="s">
        <v>76</v>
      </c>
      <c r="D298" s="565">
        <v>600</v>
      </c>
      <c r="E298" s="489">
        <f t="shared" si="26"/>
        <v>600</v>
      </c>
      <c r="F298" s="626"/>
      <c r="G298" s="491">
        <f t="shared" si="25"/>
        <v>0</v>
      </c>
      <c r="H298" s="492">
        <f>G298/D298*100</f>
        <v>0</v>
      </c>
      <c r="I298" s="607" t="s">
        <v>361</v>
      </c>
      <c r="J298" s="372">
        <v>600000</v>
      </c>
      <c r="K298" s="614" t="s">
        <v>159</v>
      </c>
      <c r="L298" s="615" t="s">
        <v>133</v>
      </c>
      <c r="M298" s="616">
        <v>1</v>
      </c>
      <c r="N298" s="616" t="s">
        <v>136</v>
      </c>
      <c r="O298" s="617" t="s">
        <v>148</v>
      </c>
      <c r="P298" s="372">
        <f t="shared" si="22"/>
        <v>600000</v>
      </c>
      <c r="Q298" s="618" t="s">
        <v>159</v>
      </c>
    </row>
    <row r="299" spans="1:17" ht="17.45" customHeight="1">
      <c r="A299" s="365"/>
      <c r="B299" s="146"/>
      <c r="C299" s="613" t="s">
        <v>35</v>
      </c>
      <c r="D299" s="565">
        <v>3300</v>
      </c>
      <c r="E299" s="489">
        <f t="shared" si="26"/>
        <v>8300</v>
      </c>
      <c r="F299" s="626"/>
      <c r="G299" s="491">
        <f t="shared" si="25"/>
        <v>5000</v>
      </c>
      <c r="H299" s="492">
        <f>G299/D299*100</f>
        <v>151.5151515151515</v>
      </c>
      <c r="I299" s="607" t="s">
        <v>470</v>
      </c>
      <c r="J299" s="372">
        <v>4150000</v>
      </c>
      <c r="K299" s="614" t="s">
        <v>159</v>
      </c>
      <c r="L299" s="615" t="s">
        <v>133</v>
      </c>
      <c r="M299" s="616">
        <v>2</v>
      </c>
      <c r="N299" s="616" t="s">
        <v>136</v>
      </c>
      <c r="O299" s="617" t="s">
        <v>148</v>
      </c>
      <c r="P299" s="372">
        <f t="shared" si="22"/>
        <v>8300000</v>
      </c>
      <c r="Q299" s="618" t="s">
        <v>159</v>
      </c>
    </row>
    <row r="300" spans="1:17" ht="17.45" customHeight="1">
      <c r="A300" s="365"/>
      <c r="B300" s="146"/>
      <c r="C300" s="613" t="s">
        <v>12</v>
      </c>
      <c r="D300" s="565">
        <v>1200</v>
      </c>
      <c r="E300" s="489">
        <f t="shared" si="26"/>
        <v>1200</v>
      </c>
      <c r="F300" s="626"/>
      <c r="G300" s="491">
        <f t="shared" si="25"/>
        <v>0</v>
      </c>
      <c r="H300" s="492">
        <f>G300/D300*100</f>
        <v>0</v>
      </c>
      <c r="I300" s="607" t="s">
        <v>361</v>
      </c>
      <c r="J300" s="372">
        <v>1200000</v>
      </c>
      <c r="K300" s="614" t="s">
        <v>159</v>
      </c>
      <c r="L300" s="615" t="s">
        <v>133</v>
      </c>
      <c r="M300" s="616">
        <v>1</v>
      </c>
      <c r="N300" s="616" t="s">
        <v>136</v>
      </c>
      <c r="O300" s="617" t="s">
        <v>148</v>
      </c>
      <c r="P300" s="372">
        <f t="shared" si="22"/>
        <v>1200000</v>
      </c>
      <c r="Q300" s="618" t="s">
        <v>159</v>
      </c>
    </row>
    <row r="301" spans="1:17" ht="17.45" customHeight="1">
      <c r="A301" s="365"/>
      <c r="B301" s="146"/>
      <c r="C301" s="625" t="s">
        <v>102</v>
      </c>
      <c r="D301" s="565">
        <v>3765</v>
      </c>
      <c r="E301" s="489">
        <f t="shared" si="26"/>
        <v>3410.3</v>
      </c>
      <c r="F301" s="626"/>
      <c r="G301" s="491">
        <f t="shared" si="25"/>
        <v>-354.69999999999982</v>
      </c>
      <c r="H301" s="492">
        <f>G301/D301*100</f>
        <v>-9.4209827357237668</v>
      </c>
      <c r="I301" s="607" t="s">
        <v>470</v>
      </c>
      <c r="J301" s="372">
        <v>1705150</v>
      </c>
      <c r="K301" s="614" t="s">
        <v>159</v>
      </c>
      <c r="L301" s="615" t="s">
        <v>133</v>
      </c>
      <c r="M301" s="616">
        <v>2</v>
      </c>
      <c r="N301" s="616" t="s">
        <v>136</v>
      </c>
      <c r="O301" s="617" t="s">
        <v>148</v>
      </c>
      <c r="P301" s="372">
        <f t="shared" si="22"/>
        <v>3410300</v>
      </c>
      <c r="Q301" s="618" t="s">
        <v>159</v>
      </c>
    </row>
    <row r="302" spans="1:17" ht="17.45" customHeight="1">
      <c r="A302" s="365"/>
      <c r="B302" s="146"/>
      <c r="C302" s="628" t="s">
        <v>215</v>
      </c>
      <c r="D302" s="565">
        <v>7400</v>
      </c>
      <c r="E302" s="489">
        <f>P302/1000</f>
        <v>2400</v>
      </c>
      <c r="F302" s="626"/>
      <c r="G302" s="491">
        <f t="shared" ref="G302:G313" si="28">+E302-D302</f>
        <v>-5000</v>
      </c>
      <c r="H302" s="492">
        <f t="shared" ref="H302:H308" si="29">+G302/D302*100</f>
        <v>-67.567567567567565</v>
      </c>
      <c r="I302" s="607" t="s">
        <v>361</v>
      </c>
      <c r="J302" s="372">
        <v>2400000</v>
      </c>
      <c r="K302" s="614" t="s">
        <v>159</v>
      </c>
      <c r="L302" s="615" t="s">
        <v>133</v>
      </c>
      <c r="M302" s="616">
        <v>1</v>
      </c>
      <c r="N302" s="616" t="s">
        <v>136</v>
      </c>
      <c r="O302" s="617" t="s">
        <v>148</v>
      </c>
      <c r="P302" s="372">
        <f t="shared" si="22"/>
        <v>2400000</v>
      </c>
      <c r="Q302" s="618" t="s">
        <v>159</v>
      </c>
    </row>
    <row r="303" spans="1:17" ht="17.45" customHeight="1">
      <c r="A303" s="365"/>
      <c r="B303" s="146"/>
      <c r="C303" s="628" t="s">
        <v>299</v>
      </c>
      <c r="D303" s="566">
        <v>19479.999993999998</v>
      </c>
      <c r="E303" s="489">
        <f t="shared" ref="E303:E308" si="30">P303/1000</f>
        <v>14700</v>
      </c>
      <c r="F303" s="626"/>
      <c r="G303" s="491">
        <f t="shared" si="28"/>
        <v>-4779.999993999998</v>
      </c>
      <c r="H303" s="492">
        <f t="shared" si="29"/>
        <v>-24.53798765642853</v>
      </c>
      <c r="I303" s="607" t="s">
        <v>361</v>
      </c>
      <c r="J303" s="372">
        <v>1225000</v>
      </c>
      <c r="K303" s="614" t="s">
        <v>159</v>
      </c>
      <c r="L303" s="615" t="s">
        <v>133</v>
      </c>
      <c r="M303" s="616">
        <v>12</v>
      </c>
      <c r="N303" s="616" t="s">
        <v>136</v>
      </c>
      <c r="O303" s="617" t="s">
        <v>148</v>
      </c>
      <c r="P303" s="372">
        <f>J303*M303</f>
        <v>14700000</v>
      </c>
      <c r="Q303" s="618" t="s">
        <v>159</v>
      </c>
    </row>
    <row r="304" spans="1:17" ht="17.45" customHeight="1">
      <c r="A304" s="365"/>
      <c r="B304" s="146"/>
      <c r="C304" s="628" t="s">
        <v>377</v>
      </c>
      <c r="D304" s="566">
        <v>9516.9999989999997</v>
      </c>
      <c r="E304" s="489">
        <f t="shared" si="30"/>
        <v>6609.999890000001</v>
      </c>
      <c r="F304" s="626"/>
      <c r="G304" s="491">
        <f t="shared" si="28"/>
        <v>-2907.0001089999987</v>
      </c>
      <c r="H304" s="492">
        <f t="shared" si="29"/>
        <v>-30.545341066569847</v>
      </c>
      <c r="I304" s="607" t="s">
        <v>470</v>
      </c>
      <c r="J304" s="372">
        <v>508461.53</v>
      </c>
      <c r="K304" s="614" t="s">
        <v>159</v>
      </c>
      <c r="L304" s="615" t="s">
        <v>133</v>
      </c>
      <c r="M304" s="616">
        <v>13</v>
      </c>
      <c r="N304" s="616" t="s">
        <v>136</v>
      </c>
      <c r="O304" s="617" t="s">
        <v>148</v>
      </c>
      <c r="P304" s="372">
        <f>J304*M304</f>
        <v>6609999.8900000006</v>
      </c>
      <c r="Q304" s="618" t="s">
        <v>159</v>
      </c>
    </row>
    <row r="305" spans="1:17" ht="17.45" customHeight="1">
      <c r="A305" s="365"/>
      <c r="B305" s="146"/>
      <c r="C305" s="22" t="s">
        <v>36</v>
      </c>
      <c r="D305" s="489">
        <v>2100</v>
      </c>
      <c r="E305" s="489">
        <f t="shared" si="30"/>
        <v>2100</v>
      </c>
      <c r="F305" s="606"/>
      <c r="G305" s="491">
        <f t="shared" si="28"/>
        <v>0</v>
      </c>
      <c r="H305" s="492">
        <f t="shared" si="29"/>
        <v>0</v>
      </c>
      <c r="I305" s="607" t="s">
        <v>361</v>
      </c>
      <c r="J305" s="372">
        <v>2100000</v>
      </c>
      <c r="K305" s="614" t="s">
        <v>159</v>
      </c>
      <c r="L305" s="615" t="s">
        <v>133</v>
      </c>
      <c r="M305" s="616">
        <v>1</v>
      </c>
      <c r="N305" s="616" t="s">
        <v>136</v>
      </c>
      <c r="O305" s="617" t="s">
        <v>148</v>
      </c>
      <c r="P305" s="372">
        <f t="shared" si="22"/>
        <v>2100000</v>
      </c>
      <c r="Q305" s="618" t="s">
        <v>159</v>
      </c>
    </row>
    <row r="306" spans="1:17" ht="17.45" customHeight="1">
      <c r="A306" s="365"/>
      <c r="B306" s="146"/>
      <c r="C306" s="22" t="s">
        <v>313</v>
      </c>
      <c r="D306" s="489">
        <v>8286</v>
      </c>
      <c r="E306" s="489">
        <f t="shared" si="30"/>
        <v>10600</v>
      </c>
      <c r="F306" s="626"/>
      <c r="G306" s="491">
        <f t="shared" si="28"/>
        <v>2314</v>
      </c>
      <c r="H306" s="492">
        <f t="shared" si="29"/>
        <v>27.926623219888967</v>
      </c>
      <c r="I306" s="607" t="s">
        <v>470</v>
      </c>
      <c r="J306" s="372">
        <v>5300000</v>
      </c>
      <c r="K306" s="614" t="s">
        <v>159</v>
      </c>
      <c r="L306" s="615" t="s">
        <v>133</v>
      </c>
      <c r="M306" s="616">
        <v>2</v>
      </c>
      <c r="N306" s="616" t="s">
        <v>136</v>
      </c>
      <c r="O306" s="617" t="s">
        <v>148</v>
      </c>
      <c r="P306" s="372">
        <f t="shared" si="22"/>
        <v>10600000</v>
      </c>
      <c r="Q306" s="618" t="s">
        <v>159</v>
      </c>
    </row>
    <row r="307" spans="1:17" ht="17.45" customHeight="1">
      <c r="A307" s="365"/>
      <c r="B307" s="146"/>
      <c r="C307" s="22" t="s">
        <v>319</v>
      </c>
      <c r="D307" s="491">
        <v>20684</v>
      </c>
      <c r="E307" s="489">
        <f>P307/1000</f>
        <v>0</v>
      </c>
      <c r="F307" s="626"/>
      <c r="G307" s="491">
        <f>+E307-D307</f>
        <v>-20684</v>
      </c>
      <c r="H307" s="627" t="s">
        <v>183</v>
      </c>
      <c r="I307" s="607" t="s">
        <v>454</v>
      </c>
      <c r="J307" s="372">
        <v>0</v>
      </c>
      <c r="K307" s="614" t="s">
        <v>159</v>
      </c>
      <c r="L307" s="615" t="s">
        <v>133</v>
      </c>
      <c r="M307" s="616">
        <v>1</v>
      </c>
      <c r="N307" s="616" t="s">
        <v>136</v>
      </c>
      <c r="O307" s="617" t="s">
        <v>148</v>
      </c>
      <c r="P307" s="372">
        <f>J307*M307</f>
        <v>0</v>
      </c>
      <c r="Q307" s="618" t="s">
        <v>159</v>
      </c>
    </row>
    <row r="308" spans="1:17" ht="17.45" customHeight="1">
      <c r="A308" s="636"/>
      <c r="B308" s="208"/>
      <c r="C308" s="613" t="s">
        <v>7</v>
      </c>
      <c r="D308" s="489">
        <v>50000</v>
      </c>
      <c r="E308" s="489">
        <f t="shared" si="30"/>
        <v>50000</v>
      </c>
      <c r="F308" s="606"/>
      <c r="G308" s="491">
        <f t="shared" si="28"/>
        <v>0</v>
      </c>
      <c r="H308" s="492">
        <f t="shared" si="29"/>
        <v>0</v>
      </c>
      <c r="I308" s="637" t="s">
        <v>261</v>
      </c>
      <c r="J308" s="165">
        <v>50000000</v>
      </c>
      <c r="K308" s="638" t="s">
        <v>159</v>
      </c>
      <c r="L308" s="639" t="s">
        <v>133</v>
      </c>
      <c r="M308" s="640">
        <v>1</v>
      </c>
      <c r="N308" s="640" t="s">
        <v>136</v>
      </c>
      <c r="O308" s="641" t="s">
        <v>148</v>
      </c>
      <c r="P308" s="165">
        <f t="shared" si="22"/>
        <v>50000000</v>
      </c>
      <c r="Q308" s="622" t="s">
        <v>159</v>
      </c>
    </row>
    <row r="309" spans="1:17" ht="20.100000000000001" customHeight="1">
      <c r="A309" s="240" t="s">
        <v>156</v>
      </c>
      <c r="B309" s="179" t="s">
        <v>179</v>
      </c>
      <c r="C309" s="642"/>
      <c r="D309" s="421">
        <f>+D310</f>
        <v>113405</v>
      </c>
      <c r="E309" s="421">
        <f>+E310</f>
        <v>36000</v>
      </c>
      <c r="F309" s="422"/>
      <c r="G309" s="423">
        <f>+E309-D309</f>
        <v>-77405</v>
      </c>
      <c r="H309" s="604">
        <f>+G309/D309*100</f>
        <v>-68.255367929103656</v>
      </c>
      <c r="I309" s="414"/>
      <c r="J309" s="143"/>
      <c r="K309" s="245"/>
      <c r="L309" s="168"/>
      <c r="M309" s="144"/>
      <c r="N309" s="144"/>
      <c r="O309" s="309"/>
      <c r="P309" s="434">
        <f>P310</f>
        <v>36000000</v>
      </c>
      <c r="Q309" s="312" t="s">
        <v>159</v>
      </c>
    </row>
    <row r="310" spans="1:17" ht="15.95" customHeight="1">
      <c r="A310" s="134"/>
      <c r="B310" s="296" t="s">
        <v>156</v>
      </c>
      <c r="C310" s="375" t="s">
        <v>156</v>
      </c>
      <c r="D310" s="390">
        <v>113405</v>
      </c>
      <c r="E310" s="390">
        <f>+P310/1000</f>
        <v>36000</v>
      </c>
      <c r="F310" s="14"/>
      <c r="G310" s="377">
        <f>+E310-D310</f>
        <v>-77405</v>
      </c>
      <c r="H310" s="378">
        <f>+G310/D310*100</f>
        <v>-68.255367929103656</v>
      </c>
      <c r="I310" s="396"/>
      <c r="J310" s="169"/>
      <c r="K310" s="245"/>
      <c r="L310" s="168"/>
      <c r="M310" s="145" t="s">
        <v>173</v>
      </c>
      <c r="N310" s="145"/>
      <c r="O310" s="145"/>
      <c r="P310" s="143">
        <f>SUM(P311:P312)</f>
        <v>36000000</v>
      </c>
      <c r="Q310" s="133" t="s">
        <v>159</v>
      </c>
    </row>
    <row r="311" spans="1:17" ht="15.95" customHeight="1">
      <c r="A311" s="134"/>
      <c r="B311" s="146"/>
      <c r="C311" s="62"/>
      <c r="D311" s="392"/>
      <c r="E311" s="392"/>
      <c r="F311" s="15"/>
      <c r="G311" s="380"/>
      <c r="H311" s="381"/>
      <c r="I311" s="395" t="s">
        <v>8</v>
      </c>
      <c r="J311" s="503">
        <v>17500000</v>
      </c>
      <c r="K311" s="373" t="s">
        <v>159</v>
      </c>
      <c r="L311" s="382" t="s">
        <v>133</v>
      </c>
      <c r="M311" s="374">
        <v>2</v>
      </c>
      <c r="N311" s="374" t="s">
        <v>136</v>
      </c>
      <c r="O311" s="383" t="s">
        <v>148</v>
      </c>
      <c r="P311" s="430">
        <f>+J311*M311</f>
        <v>35000000</v>
      </c>
      <c r="Q311" s="157" t="s">
        <v>159</v>
      </c>
    </row>
    <row r="312" spans="1:17" ht="15.95" customHeight="1">
      <c r="A312" s="284"/>
      <c r="B312" s="285"/>
      <c r="C312" s="386"/>
      <c r="D312" s="397"/>
      <c r="E312" s="397"/>
      <c r="F312" s="385"/>
      <c r="G312" s="388"/>
      <c r="H312" s="389"/>
      <c r="I312" s="427" t="s">
        <v>428</v>
      </c>
      <c r="J312" s="256">
        <v>500000</v>
      </c>
      <c r="K312" s="408" t="s">
        <v>159</v>
      </c>
      <c r="L312" s="258" t="s">
        <v>133</v>
      </c>
      <c r="M312" s="257">
        <v>2</v>
      </c>
      <c r="N312" s="257" t="s">
        <v>136</v>
      </c>
      <c r="O312" s="259" t="s">
        <v>148</v>
      </c>
      <c r="P312" s="522">
        <f>+J312*M312</f>
        <v>1000000</v>
      </c>
      <c r="Q312" s="260" t="s">
        <v>159</v>
      </c>
    </row>
    <row r="313" spans="1:17" ht="21.75" customHeight="1">
      <c r="A313" s="600" t="s">
        <v>146</v>
      </c>
      <c r="B313" s="179" t="s">
        <v>179</v>
      </c>
      <c r="C313" s="241"/>
      <c r="D313" s="643">
        <f>SUM(D314:D323)</f>
        <v>4411199</v>
      </c>
      <c r="E313" s="643">
        <f>SUM(E314:E323)</f>
        <v>2530148.9410000001</v>
      </c>
      <c r="F313" s="644">
        <f>SUM(F319:F321)</f>
        <v>0</v>
      </c>
      <c r="G313" s="645">
        <f t="shared" si="28"/>
        <v>-1881050.0589999999</v>
      </c>
      <c r="H313" s="646">
        <f>+G313/D313*100</f>
        <v>-42.642602589454704</v>
      </c>
      <c r="I313" s="414"/>
      <c r="J313" s="143"/>
      <c r="K313" s="245"/>
      <c r="L313" s="144"/>
      <c r="M313" s="144" t="s">
        <v>173</v>
      </c>
      <c r="N313" s="144"/>
      <c r="O313" s="144"/>
      <c r="P313" s="143">
        <f>SUM(P314,P318,P322)</f>
        <v>2530148941</v>
      </c>
      <c r="Q313" s="133" t="s">
        <v>159</v>
      </c>
    </row>
    <row r="314" spans="1:17" ht="18.75" customHeight="1">
      <c r="A314" s="536" t="s">
        <v>349</v>
      </c>
      <c r="B314" s="647" t="s">
        <v>324</v>
      </c>
      <c r="C314" s="56" t="s">
        <v>146</v>
      </c>
      <c r="D314" s="648">
        <v>0</v>
      </c>
      <c r="E314" s="377">
        <f>P314/1000</f>
        <v>2527245.1850000001</v>
      </c>
      <c r="F314" s="649"/>
      <c r="G314" s="377">
        <f>E314-D314</f>
        <v>2527245.1850000001</v>
      </c>
      <c r="H314" s="378" t="s">
        <v>183</v>
      </c>
      <c r="I314" s="396"/>
      <c r="J314" s="143"/>
      <c r="K314" s="245"/>
      <c r="L314" s="144"/>
      <c r="M314" s="144"/>
      <c r="N314" s="144"/>
      <c r="O314" s="144"/>
      <c r="P314" s="143">
        <f>SUM(P315:P317)</f>
        <v>2527245185</v>
      </c>
      <c r="Q314" s="133" t="s">
        <v>159</v>
      </c>
    </row>
    <row r="315" spans="1:17" ht="16.5" customHeight="1">
      <c r="A315" s="365"/>
      <c r="B315" s="650"/>
      <c r="C315" s="57"/>
      <c r="D315" s="651"/>
      <c r="E315" s="380"/>
      <c r="F315" s="649"/>
      <c r="G315" s="380"/>
      <c r="H315" s="381"/>
      <c r="I315" s="652" t="s">
        <v>81</v>
      </c>
      <c r="J315" s="372">
        <v>1280623295</v>
      </c>
      <c r="K315" s="373" t="s">
        <v>159</v>
      </c>
      <c r="L315" s="382" t="s">
        <v>133</v>
      </c>
      <c r="M315" s="374">
        <v>1</v>
      </c>
      <c r="N315" s="374" t="s">
        <v>136</v>
      </c>
      <c r="O315" s="383" t="s">
        <v>148</v>
      </c>
      <c r="P315" s="372">
        <f>+J315*M315</f>
        <v>1280623295</v>
      </c>
      <c r="Q315" s="157" t="s">
        <v>159</v>
      </c>
    </row>
    <row r="316" spans="1:17" ht="16.5" customHeight="1">
      <c r="A316" s="365"/>
      <c r="B316" s="650"/>
      <c r="C316" s="57"/>
      <c r="D316" s="651"/>
      <c r="E316" s="380"/>
      <c r="F316" s="653"/>
      <c r="G316" s="380"/>
      <c r="H316" s="381"/>
      <c r="I316" s="654" t="s">
        <v>229</v>
      </c>
      <c r="J316" s="372">
        <v>694722840</v>
      </c>
      <c r="K316" s="373" t="s">
        <v>159</v>
      </c>
      <c r="L316" s="382" t="s">
        <v>133</v>
      </c>
      <c r="M316" s="374">
        <v>1</v>
      </c>
      <c r="N316" s="374" t="s">
        <v>136</v>
      </c>
      <c r="O316" s="383" t="s">
        <v>148</v>
      </c>
      <c r="P316" s="372">
        <f>+J316*M316</f>
        <v>694722840</v>
      </c>
      <c r="Q316" s="157" t="s">
        <v>159</v>
      </c>
    </row>
    <row r="317" spans="1:17" ht="16.5" customHeight="1">
      <c r="A317" s="365"/>
      <c r="B317" s="650"/>
      <c r="C317" s="58"/>
      <c r="D317" s="655"/>
      <c r="E317" s="388"/>
      <c r="F317" s="517"/>
      <c r="G317" s="388"/>
      <c r="H317" s="389"/>
      <c r="I317" s="656" t="s">
        <v>204</v>
      </c>
      <c r="J317" s="657">
        <v>551899050</v>
      </c>
      <c r="K317" s="408" t="s">
        <v>159</v>
      </c>
      <c r="L317" s="258" t="s">
        <v>133</v>
      </c>
      <c r="M317" s="257">
        <v>1</v>
      </c>
      <c r="N317" s="257" t="s">
        <v>136</v>
      </c>
      <c r="O317" s="259" t="s">
        <v>148</v>
      </c>
      <c r="P317" s="165">
        <f>+J317*M317</f>
        <v>551899050</v>
      </c>
      <c r="Q317" s="260" t="s">
        <v>159</v>
      </c>
    </row>
    <row r="318" spans="1:17" ht="18.75" customHeight="1">
      <c r="A318" s="536"/>
      <c r="B318" s="650"/>
      <c r="C318" s="56" t="s">
        <v>321</v>
      </c>
      <c r="D318" s="648">
        <v>4408295</v>
      </c>
      <c r="E318" s="377">
        <f>(P318/1000)</f>
        <v>0</v>
      </c>
      <c r="F318" s="649"/>
      <c r="G318" s="377">
        <f>E318-D318</f>
        <v>-4408295</v>
      </c>
      <c r="H318" s="378">
        <f>(E318-D318)/D318*100</f>
        <v>-100</v>
      </c>
      <c r="I318" s="396"/>
      <c r="J318" s="143"/>
      <c r="K318" s="245"/>
      <c r="L318" s="144"/>
      <c r="M318" s="144"/>
      <c r="N318" s="144"/>
      <c r="O318" s="144"/>
      <c r="P318" s="143">
        <f>SUM(P319:P321)</f>
        <v>0</v>
      </c>
      <c r="Q318" s="133" t="s">
        <v>159</v>
      </c>
    </row>
    <row r="319" spans="1:17" ht="16.5" customHeight="1">
      <c r="A319" s="365"/>
      <c r="B319" s="650"/>
      <c r="C319" s="57"/>
      <c r="D319" s="651"/>
      <c r="E319" s="380"/>
      <c r="F319" s="649"/>
      <c r="G319" s="380"/>
      <c r="H319" s="381"/>
      <c r="I319" s="652" t="s">
        <v>81</v>
      </c>
      <c r="J319" s="372">
        <v>0</v>
      </c>
      <c r="K319" s="373" t="s">
        <v>159</v>
      </c>
      <c r="L319" s="382" t="s">
        <v>133</v>
      </c>
      <c r="M319" s="374">
        <v>1</v>
      </c>
      <c r="N319" s="374" t="s">
        <v>136</v>
      </c>
      <c r="O319" s="383" t="s">
        <v>148</v>
      </c>
      <c r="P319" s="372">
        <f>+J319*M319</f>
        <v>0</v>
      </c>
      <c r="Q319" s="157" t="s">
        <v>159</v>
      </c>
    </row>
    <row r="320" spans="1:17" ht="16.5" customHeight="1">
      <c r="A320" s="365"/>
      <c r="B320" s="650"/>
      <c r="C320" s="57"/>
      <c r="D320" s="651"/>
      <c r="E320" s="380"/>
      <c r="F320" s="653"/>
      <c r="G320" s="380"/>
      <c r="H320" s="381"/>
      <c r="I320" s="654" t="s">
        <v>229</v>
      </c>
      <c r="J320" s="372">
        <v>0</v>
      </c>
      <c r="K320" s="373" t="s">
        <v>159</v>
      </c>
      <c r="L320" s="382" t="s">
        <v>133</v>
      </c>
      <c r="M320" s="374">
        <v>1</v>
      </c>
      <c r="N320" s="374" t="s">
        <v>136</v>
      </c>
      <c r="O320" s="383" t="s">
        <v>148</v>
      </c>
      <c r="P320" s="372">
        <f>+J320*M320</f>
        <v>0</v>
      </c>
      <c r="Q320" s="157" t="s">
        <v>159</v>
      </c>
    </row>
    <row r="321" spans="1:17" ht="16.5" customHeight="1">
      <c r="A321" s="365"/>
      <c r="B321" s="650"/>
      <c r="C321" s="58"/>
      <c r="D321" s="655"/>
      <c r="E321" s="388"/>
      <c r="F321" s="517"/>
      <c r="G321" s="388"/>
      <c r="H321" s="389"/>
      <c r="I321" s="656" t="s">
        <v>204</v>
      </c>
      <c r="J321" s="657">
        <v>0</v>
      </c>
      <c r="K321" s="408" t="s">
        <v>159</v>
      </c>
      <c r="L321" s="258" t="s">
        <v>133</v>
      </c>
      <c r="M321" s="257">
        <v>1</v>
      </c>
      <c r="N321" s="257" t="s">
        <v>136</v>
      </c>
      <c r="O321" s="259" t="s">
        <v>148</v>
      </c>
      <c r="P321" s="165">
        <f>+J321*M321</f>
        <v>0</v>
      </c>
      <c r="Q321" s="260" t="s">
        <v>159</v>
      </c>
    </row>
    <row r="322" spans="1:17" ht="16.5" customHeight="1">
      <c r="A322" s="365"/>
      <c r="B322" s="650"/>
      <c r="C322" s="56" t="s">
        <v>189</v>
      </c>
      <c r="D322" s="377">
        <v>2904</v>
      </c>
      <c r="E322" s="390">
        <f>P322/1000</f>
        <v>2903.7559999999999</v>
      </c>
      <c r="F322" s="658"/>
      <c r="G322" s="377">
        <f>E322-D322</f>
        <v>-0.24400000000014188</v>
      </c>
      <c r="H322" s="378">
        <f>G322/D322*100</f>
        <v>-8.4022038567541976E-3</v>
      </c>
      <c r="I322" s="396"/>
      <c r="J322" s="169"/>
      <c r="K322" s="245"/>
      <c r="L322" s="168"/>
      <c r="M322" s="144" t="s">
        <v>173</v>
      </c>
      <c r="N322" s="144"/>
      <c r="O322" s="144"/>
      <c r="P322" s="143">
        <f>SUM(P323:P323)</f>
        <v>2903756</v>
      </c>
      <c r="Q322" s="133" t="s">
        <v>159</v>
      </c>
    </row>
    <row r="323" spans="1:17" ht="16.5" customHeight="1">
      <c r="A323" s="659"/>
      <c r="B323" s="660"/>
      <c r="C323" s="661"/>
      <c r="D323" s="662"/>
      <c r="E323" s="663"/>
      <c r="F323" s="664"/>
      <c r="G323" s="662"/>
      <c r="H323" s="665"/>
      <c r="I323" s="666" t="s">
        <v>200</v>
      </c>
      <c r="J323" s="273">
        <v>1451878</v>
      </c>
      <c r="K323" s="667" t="s">
        <v>159</v>
      </c>
      <c r="L323" s="275" t="s">
        <v>133</v>
      </c>
      <c r="M323" s="274">
        <v>2</v>
      </c>
      <c r="N323" s="274" t="s">
        <v>136</v>
      </c>
      <c r="O323" s="276" t="s">
        <v>148</v>
      </c>
      <c r="P323" s="668">
        <f>+J323*M323</f>
        <v>2903756</v>
      </c>
      <c r="Q323" s="277" t="s">
        <v>159</v>
      </c>
    </row>
    <row r="324" spans="1:17" ht="16.5" customHeight="1">
      <c r="B324" s="669"/>
      <c r="C324" s="670"/>
      <c r="D324" s="330"/>
      <c r="F324" s="74"/>
      <c r="H324" s="671"/>
      <c r="I324" s="672"/>
      <c r="J324" s="154"/>
      <c r="L324" s="156"/>
      <c r="O324" s="172"/>
      <c r="P324" s="194"/>
    </row>
    <row r="325" spans="1:17">
      <c r="I325" s="673"/>
    </row>
    <row r="326" spans="1:17">
      <c r="I326" s="674"/>
    </row>
    <row r="327" spans="1:17" ht="9.75" customHeight="1"/>
    <row r="328" spans="1:17" ht="21.75" customHeight="1"/>
    <row r="330" spans="1:17">
      <c r="I330" s="675"/>
    </row>
    <row r="331" spans="1:17">
      <c r="I331" s="675"/>
    </row>
  </sheetData>
  <mergeCells count="393">
    <mergeCell ref="H101:H103"/>
    <mergeCell ref="H210:H212"/>
    <mergeCell ref="G194:G196"/>
    <mergeCell ref="G203:G209"/>
    <mergeCell ref="G197:G201"/>
    <mergeCell ref="G127:G128"/>
    <mergeCell ref="H194:H196"/>
    <mergeCell ref="H191:H192"/>
    <mergeCell ref="G210:G212"/>
    <mergeCell ref="H176:H178"/>
    <mergeCell ref="G131:G132"/>
    <mergeCell ref="H145:H147"/>
    <mergeCell ref="H156:H158"/>
    <mergeCell ref="G174:G175"/>
    <mergeCell ref="G148:G154"/>
    <mergeCell ref="H148:H154"/>
    <mergeCell ref="H106:H109"/>
    <mergeCell ref="D180:D183"/>
    <mergeCell ref="E210:E212"/>
    <mergeCell ref="E197:E201"/>
    <mergeCell ref="F191:F192"/>
    <mergeCell ref="F197:F201"/>
    <mergeCell ref="F210:F212"/>
    <mergeCell ref="E191:E192"/>
    <mergeCell ref="G310:G312"/>
    <mergeCell ref="E318:E321"/>
    <mergeCell ref="D194:D196"/>
    <mergeCell ref="E203:E209"/>
    <mergeCell ref="E185:E190"/>
    <mergeCell ref="H318:H321"/>
    <mergeCell ref="C310:C312"/>
    <mergeCell ref="D310:D312"/>
    <mergeCell ref="E310:E312"/>
    <mergeCell ref="G322:G323"/>
    <mergeCell ref="G318:G321"/>
    <mergeCell ref="H203:H209"/>
    <mergeCell ref="H197:H201"/>
    <mergeCell ref="G185:G190"/>
    <mergeCell ref="E314:E317"/>
    <mergeCell ref="G314:G317"/>
    <mergeCell ref="H314:H317"/>
    <mergeCell ref="F185:F186"/>
    <mergeCell ref="E322:E323"/>
    <mergeCell ref="H322:H323"/>
    <mergeCell ref="H310:H312"/>
    <mergeCell ref="C322:C323"/>
    <mergeCell ref="C318:C321"/>
    <mergeCell ref="B213:C213"/>
    <mergeCell ref="D318:D321"/>
    <mergeCell ref="B313:C313"/>
    <mergeCell ref="D322:D323"/>
    <mergeCell ref="C191:C192"/>
    <mergeCell ref="D197:D201"/>
    <mergeCell ref="F113:F114"/>
    <mergeCell ref="F176:F178"/>
    <mergeCell ref="G116:G118"/>
    <mergeCell ref="H116:H118"/>
    <mergeCell ref="G113:G114"/>
    <mergeCell ref="F127:F128"/>
    <mergeCell ref="H127:H128"/>
    <mergeCell ref="G119:G120"/>
    <mergeCell ref="H119:H120"/>
    <mergeCell ref="F140:F141"/>
    <mergeCell ref="G140:G141"/>
    <mergeCell ref="H140:H141"/>
    <mergeCell ref="G121:G126"/>
    <mergeCell ref="H131:H132"/>
    <mergeCell ref="G159:G160"/>
    <mergeCell ref="H159:H160"/>
    <mergeCell ref="G156:G158"/>
    <mergeCell ref="H171:H172"/>
    <mergeCell ref="H135:H138"/>
    <mergeCell ref="H129:H130"/>
    <mergeCell ref="G129:G130"/>
    <mergeCell ref="G176:G178"/>
    <mergeCell ref="A1:B1"/>
    <mergeCell ref="D191:D192"/>
    <mergeCell ref="A2:B2"/>
    <mergeCell ref="A3:A4"/>
    <mergeCell ref="B6:C6"/>
    <mergeCell ref="C110:C112"/>
    <mergeCell ref="D129:D130"/>
    <mergeCell ref="D41:D43"/>
    <mergeCell ref="C30:C35"/>
    <mergeCell ref="D82:D83"/>
    <mergeCell ref="C98:C99"/>
    <mergeCell ref="C51:C52"/>
    <mergeCell ref="C44:C49"/>
    <mergeCell ref="C93:C97"/>
    <mergeCell ref="C82:C83"/>
    <mergeCell ref="C90:C92"/>
    <mergeCell ref="C24:C29"/>
    <mergeCell ref="C13:C21"/>
    <mergeCell ref="C41:C43"/>
    <mergeCell ref="C106:C109"/>
    <mergeCell ref="C140:C141"/>
    <mergeCell ref="C37:C40"/>
    <mergeCell ref="C156:C158"/>
    <mergeCell ref="C69:C73"/>
    <mergeCell ref="G3:H3"/>
    <mergeCell ref="H121:H126"/>
    <mergeCell ref="G104:G105"/>
    <mergeCell ref="M101:O101"/>
    <mergeCell ref="G101:G103"/>
    <mergeCell ref="H104:H105"/>
    <mergeCell ref="H113:H114"/>
    <mergeCell ref="F106:F108"/>
    <mergeCell ref="M104:O104"/>
    <mergeCell ref="G110:G112"/>
    <mergeCell ref="H110:H112"/>
    <mergeCell ref="M106:O106"/>
    <mergeCell ref="G106:G109"/>
    <mergeCell ref="H98:H99"/>
    <mergeCell ref="G78:G79"/>
    <mergeCell ref="G13:G21"/>
    <mergeCell ref="G8:G12"/>
    <mergeCell ref="H13:H21"/>
    <mergeCell ref="M22:O22"/>
    <mergeCell ref="H22:H23"/>
    <mergeCell ref="G22:G23"/>
    <mergeCell ref="H53:H59"/>
    <mergeCell ref="G53:G59"/>
    <mergeCell ref="G37:G40"/>
    <mergeCell ref="M86:O86"/>
    <mergeCell ref="H8:H12"/>
    <mergeCell ref="H80:H81"/>
    <mergeCell ref="G51:G52"/>
    <mergeCell ref="G44:G49"/>
    <mergeCell ref="M25:N25"/>
    <mergeCell ref="M26:N26"/>
    <mergeCell ref="M27:N27"/>
    <mergeCell ref="H24:H29"/>
    <mergeCell ref="H86:H89"/>
    <mergeCell ref="G86:G89"/>
    <mergeCell ref="G69:G73"/>
    <mergeCell ref="H69:H73"/>
    <mergeCell ref="O2:Q2"/>
    <mergeCell ref="M115:O115"/>
    <mergeCell ref="M148:O148"/>
    <mergeCell ref="M159:O159"/>
    <mergeCell ref="M135:O135"/>
    <mergeCell ref="M156:O156"/>
    <mergeCell ref="M129:O129"/>
    <mergeCell ref="M98:O98"/>
    <mergeCell ref="M90:O90"/>
    <mergeCell ref="M113:O113"/>
    <mergeCell ref="M93:O93"/>
    <mergeCell ref="M100:O100"/>
    <mergeCell ref="M110:O110"/>
    <mergeCell ref="M116:O116"/>
    <mergeCell ref="M121:O121"/>
    <mergeCell ref="M127:O127"/>
    <mergeCell ref="I3:Q4"/>
    <mergeCell ref="M140:O140"/>
    <mergeCell ref="M119:O119"/>
    <mergeCell ref="M60:O60"/>
    <mergeCell ref="M64:O64"/>
    <mergeCell ref="M74:O74"/>
    <mergeCell ref="M142:O142"/>
    <mergeCell ref="M145:O145"/>
    <mergeCell ref="E180:E183"/>
    <mergeCell ref="F171:F172"/>
    <mergeCell ref="F174:F175"/>
    <mergeCell ref="F194:F196"/>
    <mergeCell ref="F203:F208"/>
    <mergeCell ref="M171:O171"/>
    <mergeCell ref="H174:H175"/>
    <mergeCell ref="G171:G172"/>
    <mergeCell ref="F180:F183"/>
    <mergeCell ref="G191:G192"/>
    <mergeCell ref="M310:O310"/>
    <mergeCell ref="M197:O197"/>
    <mergeCell ref="M210:O210"/>
    <mergeCell ref="M174:O174"/>
    <mergeCell ref="M185:O185"/>
    <mergeCell ref="M194:O194"/>
    <mergeCell ref="M191:O191"/>
    <mergeCell ref="M176:O176"/>
    <mergeCell ref="H185:H190"/>
    <mergeCell ref="M203:O203"/>
    <mergeCell ref="M180:O180"/>
    <mergeCell ref="C176:C178"/>
    <mergeCell ref="C171:C172"/>
    <mergeCell ref="D171:D172"/>
    <mergeCell ref="D176:D178"/>
    <mergeCell ref="E159:E160"/>
    <mergeCell ref="D159:D160"/>
    <mergeCell ref="E156:E158"/>
    <mergeCell ref="C159:C160"/>
    <mergeCell ref="E171:E172"/>
    <mergeCell ref="C174:C175"/>
    <mergeCell ref="C162:C166"/>
    <mergeCell ref="D174:D175"/>
    <mergeCell ref="C167:C170"/>
    <mergeCell ref="D167:D170"/>
    <mergeCell ref="E167:E170"/>
    <mergeCell ref="E176:E178"/>
    <mergeCell ref="E174:E175"/>
    <mergeCell ref="C121:C126"/>
    <mergeCell ref="D121:D126"/>
    <mergeCell ref="E121:E126"/>
    <mergeCell ref="D148:D154"/>
    <mergeCell ref="E148:E154"/>
    <mergeCell ref="C129:C130"/>
    <mergeCell ref="C127:C128"/>
    <mergeCell ref="D140:D141"/>
    <mergeCell ref="E140:E141"/>
    <mergeCell ref="E145:E147"/>
    <mergeCell ref="D145:D147"/>
    <mergeCell ref="E129:E130"/>
    <mergeCell ref="C133:C134"/>
    <mergeCell ref="D133:D134"/>
    <mergeCell ref="E133:E134"/>
    <mergeCell ref="D131:D132"/>
    <mergeCell ref="C145:C147"/>
    <mergeCell ref="C135:C138"/>
    <mergeCell ref="D135:D138"/>
    <mergeCell ref="E127:E128"/>
    <mergeCell ref="C142:C144"/>
    <mergeCell ref="C197:C201"/>
    <mergeCell ref="D210:D212"/>
    <mergeCell ref="C210:C212"/>
    <mergeCell ref="B309:C309"/>
    <mergeCell ref="C203:C209"/>
    <mergeCell ref="C194:C196"/>
    <mergeCell ref="D203:D209"/>
    <mergeCell ref="C314:C317"/>
    <mergeCell ref="D314:D317"/>
    <mergeCell ref="B314:B323"/>
    <mergeCell ref="C116:C118"/>
    <mergeCell ref="E30:E35"/>
    <mergeCell ref="F60:F63"/>
    <mergeCell ref="C78:C79"/>
    <mergeCell ref="C53:C59"/>
    <mergeCell ref="C86:C89"/>
    <mergeCell ref="E194:E196"/>
    <mergeCell ref="C180:C183"/>
    <mergeCell ref="C185:C190"/>
    <mergeCell ref="C74:C76"/>
    <mergeCell ref="D119:D120"/>
    <mergeCell ref="D110:D112"/>
    <mergeCell ref="D185:D190"/>
    <mergeCell ref="D127:D128"/>
    <mergeCell ref="D80:D81"/>
    <mergeCell ref="D90:D92"/>
    <mergeCell ref="C148:C154"/>
    <mergeCell ref="E131:E132"/>
    <mergeCell ref="C131:C132"/>
    <mergeCell ref="E113:E114"/>
    <mergeCell ref="C113:C114"/>
    <mergeCell ref="C119:C120"/>
    <mergeCell ref="C101:C103"/>
    <mergeCell ref="E80:E81"/>
    <mergeCell ref="C3:C4"/>
    <mergeCell ref="D3:D4"/>
    <mergeCell ref="F13:F19"/>
    <mergeCell ref="D22:D23"/>
    <mergeCell ref="C22:C23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F22:F23"/>
    <mergeCell ref="F3:F4"/>
    <mergeCell ref="D101:D103"/>
    <mergeCell ref="D104:D105"/>
    <mergeCell ref="D64:D68"/>
    <mergeCell ref="D53:D59"/>
    <mergeCell ref="E60:E63"/>
    <mergeCell ref="D60:D63"/>
    <mergeCell ref="B77:C77"/>
    <mergeCell ref="C60:C63"/>
    <mergeCell ref="C64:C68"/>
    <mergeCell ref="E78:E79"/>
    <mergeCell ref="D78:D79"/>
    <mergeCell ref="E93:E97"/>
    <mergeCell ref="E101:E103"/>
    <mergeCell ref="E86:E89"/>
    <mergeCell ref="E104:E105"/>
    <mergeCell ref="D98:D99"/>
    <mergeCell ref="D86:D89"/>
    <mergeCell ref="C104:C105"/>
    <mergeCell ref="B84:C84"/>
    <mergeCell ref="C80:C81"/>
    <mergeCell ref="D69:D73"/>
    <mergeCell ref="E69:E73"/>
    <mergeCell ref="D24:D29"/>
    <mergeCell ref="D37:D40"/>
    <mergeCell ref="D51:D52"/>
    <mergeCell ref="D44:D49"/>
    <mergeCell ref="D74:D76"/>
    <mergeCell ref="E74:E76"/>
    <mergeCell ref="F78:F79"/>
    <mergeCell ref="F82:F83"/>
    <mergeCell ref="E64:E68"/>
    <mergeCell ref="F53:F59"/>
    <mergeCell ref="F64:F68"/>
    <mergeCell ref="F74:F76"/>
    <mergeCell ref="F30:F34"/>
    <mergeCell ref="F37:F39"/>
    <mergeCell ref="F51:F52"/>
    <mergeCell ref="F44:F49"/>
    <mergeCell ref="E24:E29"/>
    <mergeCell ref="F24:F29"/>
    <mergeCell ref="E37:E40"/>
    <mergeCell ref="E41:E43"/>
    <mergeCell ref="E44:E49"/>
    <mergeCell ref="E51:E52"/>
    <mergeCell ref="D30:D35"/>
    <mergeCell ref="E53:E59"/>
    <mergeCell ref="D116:D118"/>
    <mergeCell ref="E119:E120"/>
    <mergeCell ref="F156:F158"/>
    <mergeCell ref="D156:D158"/>
    <mergeCell ref="F148:F153"/>
    <mergeCell ref="F119:F120"/>
    <mergeCell ref="E135:E138"/>
    <mergeCell ref="E116:E118"/>
    <mergeCell ref="D162:D166"/>
    <mergeCell ref="E162:E166"/>
    <mergeCell ref="F129:F130"/>
    <mergeCell ref="F162:F165"/>
    <mergeCell ref="D142:D144"/>
    <mergeCell ref="E142:E144"/>
    <mergeCell ref="G98:G99"/>
    <mergeCell ref="G93:G97"/>
    <mergeCell ref="G90:G92"/>
    <mergeCell ref="H93:H97"/>
    <mergeCell ref="H60:H63"/>
    <mergeCell ref="G60:G63"/>
    <mergeCell ref="G64:G68"/>
    <mergeCell ref="G80:G81"/>
    <mergeCell ref="D113:D114"/>
    <mergeCell ref="D106:D109"/>
    <mergeCell ref="E106:E109"/>
    <mergeCell ref="E110:E112"/>
    <mergeCell ref="E98:E99"/>
    <mergeCell ref="E82:E83"/>
    <mergeCell ref="E90:E92"/>
    <mergeCell ref="D93:D97"/>
    <mergeCell ref="F90:F92"/>
    <mergeCell ref="F80:F81"/>
    <mergeCell ref="F93:F97"/>
    <mergeCell ref="F86:F89"/>
    <mergeCell ref="F101:F103"/>
    <mergeCell ref="F104:F105"/>
    <mergeCell ref="H82:H83"/>
    <mergeCell ref="G82:G83"/>
    <mergeCell ref="H90:H92"/>
    <mergeCell ref="M37:O37"/>
    <mergeCell ref="M41:O41"/>
    <mergeCell ref="M44:O44"/>
    <mergeCell ref="M53:O53"/>
    <mergeCell ref="H44:H49"/>
    <mergeCell ref="G30:G35"/>
    <mergeCell ref="H41:H43"/>
    <mergeCell ref="G41:G43"/>
    <mergeCell ref="H51:H52"/>
    <mergeCell ref="M29:N29"/>
    <mergeCell ref="H30:H35"/>
    <mergeCell ref="H74:H76"/>
    <mergeCell ref="G74:G76"/>
    <mergeCell ref="H64:H68"/>
    <mergeCell ref="H78:H79"/>
    <mergeCell ref="M13:O13"/>
    <mergeCell ref="H37:H40"/>
    <mergeCell ref="M28:N28"/>
    <mergeCell ref="M24:O24"/>
    <mergeCell ref="G24:G29"/>
    <mergeCell ref="M69:O69"/>
    <mergeCell ref="M85:O85"/>
    <mergeCell ref="M131:O131"/>
    <mergeCell ref="G145:G147"/>
    <mergeCell ref="F133:F134"/>
    <mergeCell ref="G133:G134"/>
    <mergeCell ref="M133:O133"/>
    <mergeCell ref="H133:H134"/>
    <mergeCell ref="G135:G138"/>
    <mergeCell ref="G180:G183"/>
    <mergeCell ref="G162:G166"/>
    <mergeCell ref="H162:H166"/>
    <mergeCell ref="G142:G144"/>
    <mergeCell ref="H142:H144"/>
    <mergeCell ref="G167:G170"/>
    <mergeCell ref="H167:H170"/>
    <mergeCell ref="M167:O167"/>
    <mergeCell ref="M162:O162"/>
    <mergeCell ref="H180:H183"/>
  </mergeCells>
  <phoneticPr fontId="6" type="noConversion"/>
  <pageMargins left="0.31486111879348755" right="0.23597222566604614" top="0.47236111760139465" bottom="0.19666667282581329" header="0.39347222447395325" footer="0.19666667282581329"/>
  <pageSetup paperSize="9" scale="92" firstPageNumber="4" fitToWidth="14" fitToHeight="14" orientation="landscape" useFirstPageNumber="1" r:id="rId1"/>
  <headerFooter>
    <oddFooter>&amp;C&amp;"맑은 고딕,Regular"&amp;P</oddFooter>
  </headerFooter>
  <rowBreaks count="10" manualBreakCount="10">
    <brk id="35" max="1048575" man="1"/>
    <brk id="68" max="1048575" man="1"/>
    <brk id="99" max="1048575" man="1"/>
    <brk id="130" max="1048575" man="1"/>
    <brk id="160" max="16" man="1"/>
    <brk id="192" max="16" man="1"/>
    <brk id="220" max="16" man="1"/>
    <brk id="249" max="16" man="1"/>
    <brk id="279" max="16" man="1"/>
    <brk id="308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28</cp:revision>
  <cp:lastPrinted>2022-12-06T00:41:10Z</cp:lastPrinted>
  <dcterms:created xsi:type="dcterms:W3CDTF">2009-12-07T05:26:05Z</dcterms:created>
  <dcterms:modified xsi:type="dcterms:W3CDTF">2022-12-23T01:40:06Z</dcterms:modified>
  <cp:version>1100.0100.01</cp:version>
</cp:coreProperties>
</file>